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defaultThemeVersion="124226"/>
  <mc:AlternateContent xmlns:mc="http://schemas.openxmlformats.org/markup-compatibility/2006">
    <mc:Choice Requires="x15">
      <x15ac:absPath xmlns:x15ac="http://schemas.microsoft.com/office/spreadsheetml/2010/11/ac" url="T:\Collateral_Management\Deckungsstock\CMT - Collateral Management Tool\Reports\HTT\Mortgage\2025\"/>
    </mc:Choice>
  </mc:AlternateContent>
  <xr:revisionPtr revIDLastSave="0" documentId="13_ncr:1_{0D90E8C0-BA8E-4598-87BB-5A9E09ACF312}" xr6:coauthVersionLast="47" xr6:coauthVersionMax="47" xr10:uidLastSave="{00000000-0000-0000-0000-000000000000}"/>
  <bookViews>
    <workbookView xWindow="19200" yWindow="0" windowWidth="19200" windowHeight="21000" tabRatio="717" firstSheet="1" activeTab="2" xr2:uid="{00000000-000D-0000-FFFF-FFFF00000000}"/>
  </bookViews>
  <sheets>
    <sheet name="Sheet1" sheetId="1" state="veryHidden" r:id="rId1"/>
    <sheet name="A. General Mortgages" sheetId="34" r:id="rId2"/>
    <sheet name="B1. Mortgage Assets" sheetId="35" r:id="rId3"/>
    <sheet name="C. ISIN List" sheetId="37" r:id="rId4"/>
    <sheet name="Lists" sheetId="17" state="veryHidden" r:id="rId5"/>
    <sheet name="Language" sheetId="18" state="veryHidden" r:id="rId6"/>
  </sheets>
  <externalReferences>
    <externalReference r:id="rId7"/>
    <externalReference r:id="rId8"/>
  </externalReferences>
  <definedNames>
    <definedName name="_xlnm._FilterDatabase" localSheetId="4" hidden="1">Lists!$G$192:$H$192</definedName>
    <definedName name="ActiveStage">#REF!</definedName>
    <definedName name="AmortisingTypes">Lists!$E$56:$E$58</definedName>
    <definedName name="Arrears">Lists!$E$74:$E$77</definedName>
    <definedName name="Asset_Types2">Lists!$E$32:$E$35</definedName>
    <definedName name="Assets_Backing">Lists!$G$32:$G$34</definedName>
    <definedName name="Australia_Region">Lists!$D$6:$D$13</definedName>
    <definedName name="BasisRates">Lists!$E$45:$E$54</definedName>
    <definedName name="Belgium_Region">Lists!$F$6:$F$9</definedName>
    <definedName name="ColorCalc">#REF!</definedName>
    <definedName name="ColorFix">#REF!</definedName>
    <definedName name="ColorManual">#REF!</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Lists!$A$123:$A$139</definedName>
    <definedName name="CommercialCollateralTypes">Lists!$A$55:$A$66</definedName>
    <definedName name="ComS_Alt1">#REF!</definedName>
    <definedName name="ComS_Alt2">#REF!</definedName>
    <definedName name="ComS_Alt3">#REF!</definedName>
    <definedName name="CountriesEEA">Lists!$A$193:$A$248</definedName>
    <definedName name="CountryList">Lists!$E$194:$E$228</definedName>
    <definedName name="CutOffDate">#REF!</definedName>
    <definedName name="Czech_Republic_Region">Lists!$AA$6:$AA$20</definedName>
    <definedName name="Debtor_Type">Lists!$E$81:$E$85</definedName>
    <definedName name="Eligible_Ineligible">Lists!$I$51:$I$52</definedName>
    <definedName name="ExportFinanceType">Lists!$K$74:$K$82</definedName>
    <definedName name="Fixed_Floating">Lists!$F$56:$F$58</definedName>
    <definedName name="France_Region">Lists!$I$6:$I$34</definedName>
    <definedName name="Frequency">Lists!$E$41:$E$42</definedName>
    <definedName name="Frequency2">Lists!$E$60:$E$63</definedName>
    <definedName name="Frequency3">Lists!$E$60:$E$64</definedName>
    <definedName name="Frequency4">Lists!$F$60:$F$64</definedName>
    <definedName name="Frequency5">Lists!$E$60:$E$63,Lists!$E$65</definedName>
    <definedName name="Frequency6">Lists!$G$67:$G$71</definedName>
    <definedName name="Frequency7">Lists!$E$60:$E$65</definedName>
    <definedName name="FX">Lists!$B$5:$B$27</definedName>
    <definedName name="FX_2">Lists!$B$5:$B$27</definedName>
    <definedName name="Germany_Region">Lists!$J$6:$J$22</definedName>
    <definedName name="Greece_Region">Lists!$K$6:$K$16</definedName>
    <definedName name="Green_bond">Lists!$F$69:$F$72</definedName>
    <definedName name="htt_com_top_10">[1]Pilot!$C$7</definedName>
    <definedName name="htt_covered_bond.mat_1">[1]Data_definitions!$F$19</definedName>
    <definedName name="htt_covered_bond.mat_10">[1]Data_definitions!$F$24</definedName>
    <definedName name="htt_covered_bond.mat_2">[1]Data_definitions!$F$20</definedName>
    <definedName name="htt_covered_bond.mat_3">[1]Data_definitions!$F$21</definedName>
    <definedName name="htt_covered_bond.mat_4">[1]Data_definitions!$F$22</definedName>
    <definedName name="htt_covered_bond.mat_5">[1]Data_definitions!$F$23</definedName>
    <definedName name="htt_covered_bond.mat_over10">[1]Data_definitions!$F$25</definedName>
    <definedName name="htt_covered_bond.reporting_date">[1]Data_definitions!$F$5</definedName>
    <definedName name="htt_covered_bond.summe_nom_eur">[1]Data_definitions!$F$6</definedName>
    <definedName name="htt_mortgage_loan.asset_currency_CHF">[1]Data_definitions!$F$26</definedName>
    <definedName name="htt_mortgage_loan.asset_currency_EUR">[1]Data_definitions!$F$27</definedName>
    <definedName name="htt_mortgage_loan.count_Account">[1]Data_definitions!$F$46</definedName>
    <definedName name="htt_mortgage_loan.country_NL">[1]Data_definitions!$F$147</definedName>
    <definedName name="htt_mortgage_loan.ds_J_M">[1]Data_definitions!$F$7</definedName>
    <definedName name="htt_mortgage_loan.ds_J_P">[1]Data_definitions!$F$8</definedName>
    <definedName name="htt_mortgage_loan.eligible_00_YES">[1]Data_definitions!$F$29</definedName>
    <definedName name="htt_mortgage_loan.interest_rate_BLANK">[1]Data_definitions!$F$64</definedName>
    <definedName name="htt_mortgage_loan.interest_rate_FIX">[1]Data_definitions!$F$65</definedName>
    <definedName name="htt_mortgage_loan.interest_rate_VAR">[1]Data_definitions!$F$66</definedName>
    <definedName name="htt_mortgage_loan.ltv_bucket1">[1]Data_definitions!$F$87</definedName>
    <definedName name="htt_mortgage_loan.ltv_bucket2">[1]Data_definitions!$F$88</definedName>
    <definedName name="htt_mortgage_loan.ltv_bucket3">[1]Data_definitions!$F$89</definedName>
    <definedName name="htt_mortgage_loan.ltv_bucket4">[1]Data_definitions!$F$90</definedName>
    <definedName name="htt_mortgage_loan.ltv_bucket5">[1]Data_definitions!$F$91</definedName>
    <definedName name="htt_mortgage_loan.ltv_bucket6">[1]Data_definitions!$F$92</definedName>
    <definedName name="htt_mortgage_loan.ltv_bucket7">[1]Data_definitions!$F$93</definedName>
    <definedName name="htt_mortgage_loan.ltv_bucket8">[1]Data_definitions!$F$94</definedName>
    <definedName name="htt_mortgage_loan.ltv_gewichtet">[1]Data_definitions!$F$129</definedName>
    <definedName name="htt_mortgage_loan.occ_2ndhome">[1]Data_definitions!$F$80</definedName>
    <definedName name="htt_mortgage_loan.occ_Agricult">[1]Data_definitions!$F$76</definedName>
    <definedName name="htt_mortgage_loan.occ_Buy_to_let">[1]Data_definitions!$F$77</definedName>
    <definedName name="htt_mortgage_loan.occ_Owner">[1]Data_definitions!$F$79</definedName>
    <definedName name="htt_mortgage_loan.region_Burgenland">[1]Data_definitions!$F$55</definedName>
    <definedName name="htt_mortgage_loan.region_Kärnten">[1]Data_definitions!$F$56</definedName>
    <definedName name="htt_mortgage_loan.region_NÖ">[1]Data_definitions!$F$57</definedName>
    <definedName name="htt_mortgage_loan.region_OÖ">[1]Data_definitions!$F$58</definedName>
    <definedName name="htt_mortgage_loan.region_Salzburg">[1]Data_definitions!$F$59</definedName>
    <definedName name="htt_mortgage_loan.region_Steiermark">[1]Data_definitions!$F$60</definedName>
    <definedName name="htt_mortgage_loan.region_Tirol">[1]Data_definitions!$F$61</definedName>
    <definedName name="htt_mortgage_loan.region_Vorarlberg">[1]Data_definitions!$F$62</definedName>
    <definedName name="htt_mortgage_loan.region_Wien">[1]Data_definitions!$F$63</definedName>
    <definedName name="htt_mortgage_loan.repayment_amort">[1]Data_definitions!$F$68</definedName>
    <definedName name="htt_mortgage_loan.repayment_BLANK">[1]Data_definitions!$F$67</definedName>
    <definedName name="htt_mortgage_loan.repayment_bullet">[1]Data_definitions!$F$69</definedName>
    <definedName name="htt_mortgage_loan.reporting_date">[1]Data_definitions!$F$3</definedName>
    <definedName name="htt_mortgage_loan.res_1">[1]Data_definitions!$F$12</definedName>
    <definedName name="htt_mortgage_loan.res_10">[1]Data_definitions!$F$17</definedName>
    <definedName name="htt_mortgage_loan.res_2">[1]Data_definitions!$F$13</definedName>
    <definedName name="htt_mortgage_loan.res_3">[1]Data_definitions!$F$14</definedName>
    <definedName name="htt_mortgage_loan.res_4">[1]Data_definitions!$F$15</definedName>
    <definedName name="htt_mortgage_loan.res_5">[1]Data_definitions!$F$16</definedName>
    <definedName name="htt_mortgage_loan.res_over10">[1]Data_definitions!$F$18</definedName>
    <definedName name="htt_mortgage_loan.seasoning_1">[1]Data_definitions!$F$70</definedName>
    <definedName name="htt_mortgage_loan.seasoning_2">[1]Data_definitions!$F$71</definedName>
    <definedName name="htt_mortgage_loan.seasoning_3">[1]Data_definitions!$F$72</definedName>
    <definedName name="htt_mortgage_loan.seasoning_5">[1]Data_definitions!$F$73</definedName>
    <definedName name="htt_mortgage_loan.seasoning_over5">[1]Data_definitions!$F$74</definedName>
    <definedName name="htt_mortgage_loan.sector_COM">[1]Data_definitions!$F$42</definedName>
    <definedName name="htt_mortgage_loan.segment_2_COM">[1]Data_definitions!$F$127</definedName>
    <definedName name="htt_mortgage_loan.segment_2_RES">[1]Data_definitions!$F$128</definedName>
    <definedName name="htt_mortgage_loan.slice_bucket1">[1]Data_definitions!$F$81</definedName>
    <definedName name="htt_mortgage_loan.slice_bucket2">[1]Data_definitions!$F$82</definedName>
    <definedName name="htt_mortgage_loan.slice_bucket3">[1]Data_definitions!$F$83</definedName>
    <definedName name="htt_mortgage_loan.slice_bucket4">[1]Data_definitions!$F$84</definedName>
    <definedName name="htt_mortgage_loan.slice_bucket5">[1]Data_definitions!$F$85</definedName>
    <definedName name="htt_mortgage_loan.slice_bucket6">[1]Data_definitions!$F$86</definedName>
    <definedName name="htt_mortgage_loan.summe_nom_eur">[1]Data_definitions!$F$6</definedName>
    <definedName name="htt_mortgage_loan.summe_slice">[1]Data_definitions!$F$4</definedName>
    <definedName name="htt_mortgage_top_10">[1]Pilot!$C$8</definedName>
    <definedName name="htt_public_loan.asset_currency_CHF">[1]Data_definitions!$F$38</definedName>
    <definedName name="htt_public_loan.asset_currency_EUR">[1]Data_definitions!$F$39</definedName>
    <definedName name="htt_public_loan.count_Account">[1]Data_definitions!$F$126</definedName>
    <definedName name="htt_public_loan.debtor_BUN">[1]Data_definitions!$F$105</definedName>
    <definedName name="htt_public_loan.debtor_GEM">[1]Data_definitions!$F$107</definedName>
    <definedName name="htt_public_loan.debtor_LAN">[1]Data_definitions!$F$108</definedName>
    <definedName name="htt_public_loan.eligible_00_YES">[1]Data_definitions!$F$41</definedName>
    <definedName name="htt_public_loan.interest_blank">[1]Data_definitions!$F$113</definedName>
    <definedName name="htt_public_loan.interest_FIX">[1]Data_definitions!$F$114</definedName>
    <definedName name="htt_public_loan.interest_VAR">[1]Data_definitions!$F$115</definedName>
    <definedName name="htt_public_loan.repayment_amort">[1]Data_definitions!$F$111</definedName>
    <definedName name="htt_public_loan.repayment_bullet">[1]Data_definitions!$F$112</definedName>
    <definedName name="htt_public_loan.reporting_date">[1]Data_definitions!$F$9</definedName>
    <definedName name="htt_public_loan.res_1">[1]Data_definitions!$F$31</definedName>
    <definedName name="htt_public_loan.res_10">[1]Data_definitions!$F$36</definedName>
    <definedName name="htt_public_loan.res_2">[1]Data_definitions!$F$32</definedName>
    <definedName name="htt_public_loan.res_3">[1]Data_definitions!$F$33</definedName>
    <definedName name="htt_public_loan.res_4">[1]Data_definitions!$F$34</definedName>
    <definedName name="htt_public_loan.res_5">[1]Data_definitions!$F$35</definedName>
    <definedName name="htt_public_loan.res_over10">[1]Data_definitions!$F$37</definedName>
    <definedName name="htt_public_loan.slice_bucket1">[1]Data_definitions!$F$95</definedName>
    <definedName name="htt_public_loan.slice_bucket2">[1]Data_definitions!$F$96</definedName>
    <definedName name="htt_public_loan.slice_bucket3">[1]Data_definitions!$F$97</definedName>
    <definedName name="htt_public_loan.slice_bucket4">[1]Data_definitions!$F$98</definedName>
    <definedName name="htt_public_loan.slice_bucket5">[1]Data_definitions!$F$99</definedName>
    <definedName name="htt_public_loan.slice_bucket6">[1]Data_definitions!$F$100</definedName>
    <definedName name="htt_public_loan.summe_slice">[1]Data_definitions!$F$10</definedName>
    <definedName name="htt_res_top_10">[1]Pilot!$C$6</definedName>
    <definedName name="IR_Type">Lists!$G$38:$G$43</definedName>
    <definedName name="Italy_Region">Lists!$N$6:$N$27</definedName>
    <definedName name="Lists_GOS">Lists!$C$162:$C$164</definedName>
    <definedName name="Lists_Sector">Lists!$A$162:$A$177</definedName>
    <definedName name="MaturityType">Lists!$G$76:$G$79</definedName>
    <definedName name="Moodys_Scale">Lists!$A$99:$A$117</definedName>
    <definedName name="Netherlands_Region">Lists!$P$6:$P$18</definedName>
    <definedName name="Nominal_NPV">Lists!$I$48:$I$49</definedName>
    <definedName name="Overview_Residential">#REF!</definedName>
    <definedName name="PbP_AmT_ER">#REF!</definedName>
    <definedName name="PbP_AmTypePR">#REF!</definedName>
    <definedName name="PbP_BorrowerGroupID">#REF!</definedName>
    <definedName name="PbP_BorrowerID">#REF!</definedName>
    <definedName name="PbP_CC">#REF!</definedName>
    <definedName name="PbP_CGrossRent">#REF!</definedName>
    <definedName name="PbP_CNetRent">#REF!</definedName>
    <definedName name="PbP_COccupancy">#REF!</definedName>
    <definedName name="PbP_ERdefault">#REF!</definedName>
    <definedName name="PbP_HotelsOwnOcc">#REF!</definedName>
    <definedName name="PbP_IR_ER">#REF!</definedName>
    <definedName name="PbP_IRD_ER">#REF!</definedName>
    <definedName name="PbP_IRDPR">#REF!</definedName>
    <definedName name="PbP_IRPR">#REF!</definedName>
    <definedName name="PbP_IRT_ER">#REF!</definedName>
    <definedName name="PbP_IRTPR">#REF!</definedName>
    <definedName name="PbP_JRs">#REF!</definedName>
    <definedName name="PbP_LargestTenant">#REF!</definedName>
    <definedName name="PbP_LargestTenant_FitchRating">#REF!</definedName>
    <definedName name="PbP_LargestTenant_MoodysRating">#REF!</definedName>
    <definedName name="PbP_LargestTenant_SPRating">#REF!</definedName>
    <definedName name="PbP_LargestTenantMethod">#REF!</definedName>
    <definedName name="PbP_LargestTenantPercent">#REF!</definedName>
    <definedName name="PbP_LB1">#REF!</definedName>
    <definedName name="PbP_LB2">#REF!</definedName>
    <definedName name="PbP_LeaseType">#REF!</definedName>
    <definedName name="PbP_LeaseTypeAll">#REF!</definedName>
    <definedName name="PbP_LendingValue">#REF!</definedName>
    <definedName name="PbP_LoanID">#REF!</definedName>
    <definedName name="PbP_Mat_ER">#REF!</definedName>
    <definedName name="PbP_MatPR">#REF!</definedName>
    <definedName name="PbP_NumberOfFlats">#REF!</definedName>
    <definedName name="PbP_NumberOfTenants">#REF!</definedName>
    <definedName name="PbP_OriginatorID">#REF!</definedName>
    <definedName name="PbP_PRdefault">#REF!</definedName>
    <definedName name="PbP_PropertyCountry">#REF!</definedName>
    <definedName name="PbP_PropertyID">#REF!</definedName>
    <definedName name="PbP_PropertyRegion">#REF!</definedName>
    <definedName name="PbP_PropertyType">#REF!</definedName>
    <definedName name="PbP_PropLocation_Score">#REF!</definedName>
    <definedName name="PbP_PropName">#REF!</definedName>
    <definedName name="PbP_PropQuality_Score">#REF!</definedName>
    <definedName name="PbP_PropQualityANDPropLocation_Score">#REF!</definedName>
    <definedName name="PbP_PropTown">#REF!</definedName>
    <definedName name="PbP_PropZIP">#REF!</definedName>
    <definedName name="PbP_PRs">#REF!</definedName>
    <definedName name="PbP_Ranking">#REF!</definedName>
    <definedName name="PbP_ServicerID">#REF!</definedName>
    <definedName name="PbP_TbTAvail">#REF!</definedName>
    <definedName name="PbP_TenancyLength">#REF!</definedName>
    <definedName name="PbP_TenantRating_Score">#REF!</definedName>
    <definedName name="PbP_TenantRatingLargest_Score">#REF!</definedName>
    <definedName name="PbP_TenLengthMethod">#REF!</definedName>
    <definedName name="PbP_UpdatedValuation">#REF!</definedName>
    <definedName name="PbP_Valuation1">#REF!</definedName>
    <definedName name="PbP_Valuation2">#REF!</definedName>
    <definedName name="PbP_ValuationDate">#REF!</definedName>
    <definedName name="PbP_VPV">#REF!</definedName>
    <definedName name="PbP_VPVDate">#REF!</definedName>
    <definedName name="PbP_WARatingTenants">#REF!</definedName>
    <definedName name="PbP_WARemTen">#REF!</definedName>
    <definedName name="PbP_Ybuild">#REF!</definedName>
    <definedName name="PbP_Yrenovated">#REF!</definedName>
    <definedName name="Performing">Lists!$E$70:$E$73</definedName>
    <definedName name="Performing2">Lists!$E$70:$E$78</definedName>
    <definedName name="Portugal_Region">Lists!$S$6:$S$12</definedName>
    <definedName name="Prepayment">Lists!$I$45:$I$46</definedName>
    <definedName name="Principal_repayment_Patern">Lists!$I$56:$I$63</definedName>
    <definedName name="Principal_repayment_Pattern">Lists!$I$56:$I$62</definedName>
    <definedName name="PrincipalRepaymentSUbsAssets">Lists!$K$62:$K$69</definedName>
    <definedName name="_xlnm.Print_Area" localSheetId="4">Lists!$D$5:$Z$29</definedName>
    <definedName name="PropertyValueLTV">Lists!$G$56:$G$58</definedName>
    <definedName name="PRP">#REF!</definedName>
    <definedName name="PS_Alt1">#REF!</definedName>
    <definedName name="PS_Alt2">#REF!</definedName>
    <definedName name="PS_Alt3">#REF!</definedName>
    <definedName name="PublicSectorOptions" localSheetId="0">[2]Lists!$K$35:$K$44</definedName>
    <definedName name="PublicSectorOptions">Lists!$K$35:$K$42</definedName>
    <definedName name="Restlfz_bonds">[1]Data_definitions!$F$135</definedName>
    <definedName name="Restlfz_mortgage">[1]Data_definitions!$F$134</definedName>
    <definedName name="Restlfz_public">[1]Data_definitions!$F$133</definedName>
    <definedName name="SouthAfrica_Region">Lists!$T$6:$T$15</definedName>
    <definedName name="Spain_Region">Lists!$U$6:$U$23</definedName>
    <definedName name="Static_Dynamic">Lists!$I$41:$I$42</definedName>
    <definedName name="Stichtag">'A. General Mortgages'!$C$17</definedName>
    <definedName name="SubstituteCollateral_Type">Lists!$K$48:$K$57</definedName>
    <definedName name="Swap_Profile">Lists!$A$81:$A$83</definedName>
    <definedName name="SwapsCollateralPosting">Lists!$I$71:$I$73</definedName>
    <definedName name="Sweden_Region">Lists!$V$6:$V$25</definedName>
    <definedName name="Switzerland_Region">Lists!$W$6:$W$14</definedName>
    <definedName name="Tenant_Weighting">Lists!$E$102:$E$105</definedName>
    <definedName name="Timeframe_DSCR">Lists!$A$91:$A$95</definedName>
    <definedName name="UK_Region">Lists!$X$6:$X$18</definedName>
    <definedName name="Value_Type">Lists!$A$86:$A$89</definedName>
    <definedName name="Value_Type2">Lists!$A$86:$A$87</definedName>
    <definedName name="Version">#REF!</definedName>
    <definedName name="Versions">Lists!$A$69:$A$75</definedName>
    <definedName name="workaround_segment_COM_mortgage_split">[1]Data_definitions!$F$152</definedName>
    <definedName name="workaround_segment_de_mortgage_split">[1]Data_definitions!$F$151</definedName>
    <definedName name="workaround_segment_RES_mortgage_split">[1]Data_definitions!$F$154</definedName>
    <definedName name="workaround_segment_WBG_mortgage_split">[1]Data_definitions!$F$155</definedName>
    <definedName name="Z_177A950E_F986_4F9F_BF7A_3EE97148E8BF_.wvu.PrintArea" localSheetId="4" hidden="1">Lists!$D$5:$Z$29</definedName>
    <definedName name="Z_51EFF3A7_EBAD_4444_AC2F_4C032192BE96_.wvu.FilterData" localSheetId="4" hidden="1">Lists!$G$192:$H$192</definedName>
    <definedName name="Z_51EFF3A7_EBAD_4444_AC2F_4C032192BE96_.wvu.PrintArea" localSheetId="4" hidden="1">Lists!$D$5:$Z$29</definedName>
  </definedNames>
  <calcPr calcId="191028"/>
  <customWorkbookViews>
    <customWorkbookView name="Moody's Investors Service - Personal View" guid="{177A950E-F986-4F9F-BF7A-3EE97148E8BF}" mergeInterval="0" personalView="1" maximized="1" windowWidth="1276" windowHeight="835" tabRatio="944" activeSheetId="1"/>
    <customWorkbookView name="Hogan, John - Personal View" guid="{51EFF3A7-EBAD-4444-AC2F-4C032192BE96}" mergeInterval="0" personalView="1" maximized="1" xWindow="-8" yWindow="-8" windowWidth="1936" windowHeight="1056" tabRatio="84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8" i="17" l="1"/>
  <c r="H83" i="17"/>
  <c r="H82" i="17"/>
  <c r="K82" i="17"/>
  <c r="K81" i="17"/>
  <c r="K80" i="17"/>
  <c r="K79" i="17"/>
  <c r="K78" i="17"/>
  <c r="K77" i="17"/>
  <c r="K76" i="17"/>
  <c r="K75" i="17"/>
  <c r="K74" i="17"/>
  <c r="D5" i="17"/>
  <c r="D14" i="17" s="1"/>
  <c r="D135" i="17" s="1"/>
  <c r="E5" i="17"/>
  <c r="E15" i="17" s="1"/>
  <c r="F5" i="17"/>
  <c r="G5" i="17"/>
  <c r="H5" i="17"/>
  <c r="I5" i="17"/>
  <c r="J5" i="17"/>
  <c r="J22" i="17" s="1"/>
  <c r="K5" i="17"/>
  <c r="K16" i="17" s="1"/>
  <c r="K137" i="17" s="1"/>
  <c r="L5" i="17"/>
  <c r="L26" i="17" s="1"/>
  <c r="L4" i="17" s="1"/>
  <c r="M5" i="17"/>
  <c r="M31" i="17" s="1"/>
  <c r="N5" i="17"/>
  <c r="N27" i="17" s="1"/>
  <c r="O5" i="17"/>
  <c r="O7" i="17" s="1"/>
  <c r="P5" i="17"/>
  <c r="P18" i="17" s="1"/>
  <c r="P4" i="17" s="1"/>
  <c r="Q5" i="17"/>
  <c r="Q17" i="17" s="1"/>
  <c r="Q4" i="17" s="1"/>
  <c r="R5" i="17"/>
  <c r="R22" i="17" s="1"/>
  <c r="S5" i="17"/>
  <c r="S15" i="17" s="1"/>
  <c r="T5" i="17"/>
  <c r="T25" i="17" s="1"/>
  <c r="U5" i="17"/>
  <c r="U23" i="17" s="1"/>
  <c r="V5" i="17"/>
  <c r="V16" i="17" s="1"/>
  <c r="W5" i="17"/>
  <c r="W14" i="17" s="1"/>
  <c r="X5" i="17"/>
  <c r="X18" i="17" s="1"/>
  <c r="Y5" i="17"/>
  <c r="Y21" i="17" s="1"/>
  <c r="Y4" i="17" s="1"/>
  <c r="Z5" i="17"/>
  <c r="Z6" i="17" s="1"/>
  <c r="AA5" i="17"/>
  <c r="AA20" i="17" s="1"/>
  <c r="AA141" i="17" s="1"/>
  <c r="AE5" i="17"/>
  <c r="AE14" i="17" s="1"/>
  <c r="AE4" i="17" s="1"/>
  <c r="AF5" i="17"/>
  <c r="AG5" i="17"/>
  <c r="AH5" i="17"/>
  <c r="AH27" i="17" s="1"/>
  <c r="AH4" i="17" s="1"/>
  <c r="AI5" i="17"/>
  <c r="AI28" i="17" s="1"/>
  <c r="AI4" i="17" s="1"/>
  <c r="AJ5" i="17"/>
  <c r="AJ9" i="17" s="1"/>
  <c r="AJ4" i="17" s="1"/>
  <c r="AK5" i="17"/>
  <c r="AK8" i="17" s="1"/>
  <c r="AK4" i="17" s="1"/>
  <c r="AL5" i="17"/>
  <c r="AL8" i="17" s="1"/>
  <c r="AL4" i="17" s="1"/>
  <c r="AM5" i="17"/>
  <c r="AM8" i="17" s="1"/>
  <c r="AM4" i="17" s="1"/>
  <c r="AN5" i="17"/>
  <c r="AN6" i="17" s="1"/>
  <c r="AO5" i="17"/>
  <c r="AO7" i="17" s="1"/>
  <c r="AP5" i="17"/>
  <c r="AP6" i="17" s="1"/>
  <c r="AQ5" i="17"/>
  <c r="AQ7" i="17" s="1"/>
  <c r="AR5" i="17"/>
  <c r="AR6" i="17" s="1"/>
  <c r="AS5" i="17"/>
  <c r="AS7" i="17" s="1"/>
  <c r="AT5" i="17"/>
  <c r="AT6" i="17" s="1"/>
  <c r="AU5" i="17"/>
  <c r="AU7" i="17" s="1"/>
  <c r="AV5" i="17"/>
  <c r="AV7" i="17" s="1"/>
  <c r="AW5" i="17"/>
  <c r="AX5" i="17"/>
  <c r="AX7" i="17" s="1"/>
  <c r="AY5" i="17"/>
  <c r="AY7" i="17" s="1"/>
  <c r="AZ5" i="17"/>
  <c r="AZ6" i="17" s="1"/>
  <c r="BA5" i="17"/>
  <c r="BA6" i="17" s="1"/>
  <c r="BB5" i="17"/>
  <c r="BB7" i="17" s="1"/>
  <c r="BC5" i="17"/>
  <c r="BC6" i="17" s="1"/>
  <c r="BD5" i="17"/>
  <c r="BE5" i="17"/>
  <c r="BE6" i="17" s="1"/>
  <c r="BF5" i="17"/>
  <c r="BG5" i="17"/>
  <c r="BG6" i="17" s="1"/>
  <c r="BG4" i="17" s="1"/>
  <c r="A89" i="17"/>
  <c r="E1623" i="18"/>
  <c r="E1621" i="18"/>
  <c r="E1592" i="18"/>
  <c r="E1596" i="18" s="1"/>
  <c r="E1570" i="18"/>
  <c r="E1572" i="18" s="1"/>
  <c r="E1564" i="18"/>
  <c r="E1558" i="18"/>
  <c r="E1553" i="18"/>
  <c r="E1551" i="18"/>
  <c r="E1546" i="18"/>
  <c r="E1536" i="18"/>
  <c r="E1534" i="18"/>
  <c r="E1533" i="18"/>
  <c r="E1512" i="18"/>
  <c r="E1510" i="18"/>
  <c r="E1508" i="18"/>
  <c r="E1506" i="18"/>
  <c r="E1372" i="18"/>
  <c r="E1371" i="18"/>
  <c r="E1370" i="18"/>
  <c r="E1369" i="18"/>
  <c r="E944" i="18"/>
  <c r="E943" i="18"/>
  <c r="E942" i="18"/>
  <c r="E941" i="18"/>
  <c r="E940" i="18"/>
  <c r="E939" i="18"/>
  <c r="E938" i="18"/>
  <c r="E937" i="18"/>
  <c r="E936" i="18"/>
  <c r="E935" i="18"/>
  <c r="E934" i="18"/>
  <c r="E933" i="18"/>
  <c r="E932" i="18"/>
  <c r="E931" i="18"/>
  <c r="E930" i="18"/>
  <c r="E929" i="18"/>
  <c r="E928" i="18"/>
  <c r="E927" i="18"/>
  <c r="E926" i="18"/>
  <c r="E925" i="18"/>
  <c r="E589" i="18"/>
  <c r="E579" i="18"/>
  <c r="E572" i="18"/>
  <c r="E34" i="18"/>
  <c r="Q127" i="17"/>
  <c r="A138" i="17"/>
  <c r="A139" i="17"/>
  <c r="I73" i="17"/>
  <c r="I72" i="17"/>
  <c r="I71" i="17"/>
  <c r="K69" i="17"/>
  <c r="K68" i="17"/>
  <c r="K67" i="17"/>
  <c r="K66" i="17"/>
  <c r="K65" i="17"/>
  <c r="K64" i="17"/>
  <c r="K63" i="17"/>
  <c r="K62" i="17"/>
  <c r="K57" i="17"/>
  <c r="K56" i="17"/>
  <c r="K55" i="17"/>
  <c r="K54" i="17"/>
  <c r="K53" i="17"/>
  <c r="K52" i="17"/>
  <c r="K51" i="17"/>
  <c r="K50" i="17"/>
  <c r="K49" i="17"/>
  <c r="K48" i="17"/>
  <c r="A88" i="17"/>
  <c r="G42" i="17"/>
  <c r="G57" i="17"/>
  <c r="G56" i="17"/>
  <c r="F58" i="17"/>
  <c r="D1369" i="18"/>
  <c r="F1369" i="18"/>
  <c r="D1370" i="18"/>
  <c r="F1370" i="18"/>
  <c r="D1371" i="18"/>
  <c r="G40" i="17" s="1"/>
  <c r="F1371" i="18"/>
  <c r="D1372" i="18"/>
  <c r="F1372" i="18"/>
  <c r="H4" i="17"/>
  <c r="M4" i="17"/>
  <c r="A6" i="17"/>
  <c r="A7" i="17"/>
  <c r="A8" i="17"/>
  <c r="AD8" i="17"/>
  <c r="AD4" i="17"/>
  <c r="A9" i="17"/>
  <c r="AB9" i="17"/>
  <c r="A10" i="17"/>
  <c r="A11" i="17"/>
  <c r="A12" i="17"/>
  <c r="AB12" i="17"/>
  <c r="A13" i="17"/>
  <c r="A14" i="17"/>
  <c r="A15" i="17"/>
  <c r="A16" i="17"/>
  <c r="A17" i="17"/>
  <c r="A18" i="17"/>
  <c r="A19" i="17"/>
  <c r="A20" i="17"/>
  <c r="A21" i="17"/>
  <c r="A22" i="17"/>
  <c r="A23" i="17"/>
  <c r="AC23" i="17"/>
  <c r="AC4" i="17" s="1"/>
  <c r="A24" i="17"/>
  <c r="A25" i="17"/>
  <c r="A26" i="17"/>
  <c r="A27" i="17"/>
  <c r="A28" i="17"/>
  <c r="A29" i="17"/>
  <c r="A31" i="17"/>
  <c r="E31" i="17"/>
  <c r="A32" i="17"/>
  <c r="E32" i="17"/>
  <c r="A33" i="17"/>
  <c r="E33" i="17"/>
  <c r="A34" i="17"/>
  <c r="E34" i="17"/>
  <c r="A35" i="17"/>
  <c r="E35" i="17"/>
  <c r="K35" i="17"/>
  <c r="A36" i="17"/>
  <c r="K36" i="17"/>
  <c r="A37" i="17"/>
  <c r="E37" i="17"/>
  <c r="K37" i="17"/>
  <c r="A38" i="17"/>
  <c r="E38" i="17"/>
  <c r="G38" i="17"/>
  <c r="K38" i="17"/>
  <c r="A39" i="17"/>
  <c r="E39" i="17"/>
  <c r="K39" i="17"/>
  <c r="A40" i="17"/>
  <c r="K40" i="17"/>
  <c r="A41" i="17"/>
  <c r="E41" i="17"/>
  <c r="G41" i="17"/>
  <c r="I41" i="17"/>
  <c r="K41" i="17"/>
  <c r="A42" i="17"/>
  <c r="E42" i="17"/>
  <c r="G43" i="17"/>
  <c r="I42" i="17"/>
  <c r="K42" i="17"/>
  <c r="A43" i="17"/>
  <c r="A44" i="17"/>
  <c r="A45" i="17"/>
  <c r="I45" i="17"/>
  <c r="A46" i="17"/>
  <c r="I46" i="17"/>
  <c r="A47" i="17"/>
  <c r="I48" i="17"/>
  <c r="I49" i="17"/>
  <c r="A50" i="17"/>
  <c r="I51" i="17"/>
  <c r="I52" i="17"/>
  <c r="A54" i="17"/>
  <c r="A55" i="17"/>
  <c r="A56" i="17"/>
  <c r="E56" i="17"/>
  <c r="F56" i="17"/>
  <c r="I56" i="17"/>
  <c r="A57" i="17"/>
  <c r="E57" i="17"/>
  <c r="F57" i="17"/>
  <c r="I57" i="17"/>
  <c r="A58" i="17"/>
  <c r="E58" i="17"/>
  <c r="I58" i="17"/>
  <c r="A59" i="17"/>
  <c r="I59" i="17"/>
  <c r="A60" i="17"/>
  <c r="E60" i="17"/>
  <c r="G67" i="17" s="1"/>
  <c r="F60" i="17"/>
  <c r="I60" i="17"/>
  <c r="A61" i="17"/>
  <c r="E61" i="17"/>
  <c r="G68" i="17" s="1"/>
  <c r="F61" i="17"/>
  <c r="I61" i="17"/>
  <c r="A62" i="17"/>
  <c r="E62" i="17"/>
  <c r="G69" i="17" s="1"/>
  <c r="F62" i="17"/>
  <c r="I62" i="17"/>
  <c r="A63" i="17"/>
  <c r="E63" i="17"/>
  <c r="G70" i="17" s="1"/>
  <c r="F63" i="17"/>
  <c r="I63" i="17"/>
  <c r="A64" i="17"/>
  <c r="E64" i="17"/>
  <c r="F64" i="17"/>
  <c r="A65" i="17"/>
  <c r="E65" i="17"/>
  <c r="G71" i="17" s="1"/>
  <c r="A66" i="17"/>
  <c r="A68" i="17"/>
  <c r="A69" i="17"/>
  <c r="E69" i="17"/>
  <c r="A70" i="17"/>
  <c r="E71" i="17"/>
  <c r="E72" i="17"/>
  <c r="E73" i="17"/>
  <c r="E74" i="17"/>
  <c r="E75" i="17"/>
  <c r="E76" i="17"/>
  <c r="G76" i="17"/>
  <c r="E77" i="17"/>
  <c r="G77" i="17"/>
  <c r="E78" i="17"/>
  <c r="G78" i="17"/>
  <c r="G79" i="17"/>
  <c r="A81" i="17"/>
  <c r="E81" i="17"/>
  <c r="A82" i="17"/>
  <c r="E82" i="17"/>
  <c r="A83" i="17"/>
  <c r="E83" i="17"/>
  <c r="E84" i="17"/>
  <c r="E85" i="17"/>
  <c r="A86" i="17"/>
  <c r="A87" i="17"/>
  <c r="A91" i="17"/>
  <c r="A92" i="17"/>
  <c r="A93" i="17"/>
  <c r="A94" i="17"/>
  <c r="A95" i="17"/>
  <c r="E102" i="17"/>
  <c r="E103" i="17"/>
  <c r="E104" i="17"/>
  <c r="E105" i="17"/>
  <c r="A123" i="17"/>
  <c r="A124" i="17"/>
  <c r="A125" i="17"/>
  <c r="A126" i="17"/>
  <c r="D126" i="17"/>
  <c r="E126" i="17"/>
  <c r="F126" i="17"/>
  <c r="G126" i="17"/>
  <c r="H126" i="17"/>
  <c r="I126" i="17"/>
  <c r="J126" i="17"/>
  <c r="K126" i="17"/>
  <c r="L126" i="17"/>
  <c r="M126" i="17"/>
  <c r="N126" i="17"/>
  <c r="O126" i="17"/>
  <c r="P126" i="17"/>
  <c r="Q126" i="17"/>
  <c r="R126" i="17"/>
  <c r="S126" i="17"/>
  <c r="T126" i="17"/>
  <c r="U126" i="17"/>
  <c r="V126" i="17"/>
  <c r="W126" i="17"/>
  <c r="X126" i="17"/>
  <c r="Y126" i="17"/>
  <c r="Z126" i="17"/>
  <c r="AA126" i="17"/>
  <c r="AB126" i="17"/>
  <c r="AC126" i="17"/>
  <c r="AD126" i="17"/>
  <c r="AE126" i="17"/>
  <c r="AF126" i="17"/>
  <c r="AG126" i="17"/>
  <c r="AH126" i="17"/>
  <c r="AI126" i="17"/>
  <c r="AJ126" i="17"/>
  <c r="AK126" i="17"/>
  <c r="AL126" i="17"/>
  <c r="A127" i="17"/>
  <c r="D127" i="17"/>
  <c r="E127" i="17"/>
  <c r="F127" i="17"/>
  <c r="G127" i="17"/>
  <c r="I127" i="17"/>
  <c r="J127" i="17"/>
  <c r="K127" i="17"/>
  <c r="L127" i="17"/>
  <c r="N127" i="17"/>
  <c r="O127" i="17"/>
  <c r="R127" i="17"/>
  <c r="S127" i="17"/>
  <c r="T127" i="17"/>
  <c r="U127" i="17"/>
  <c r="V127" i="17"/>
  <c r="W127" i="17"/>
  <c r="X127" i="17"/>
  <c r="Y127" i="17"/>
  <c r="AA127" i="17"/>
  <c r="A128" i="17"/>
  <c r="D128" i="17"/>
  <c r="E128" i="17"/>
  <c r="F128" i="17"/>
  <c r="I128" i="17"/>
  <c r="J128" i="17"/>
  <c r="K128" i="17"/>
  <c r="L128" i="17"/>
  <c r="N128" i="17"/>
  <c r="Q128" i="17"/>
  <c r="R128" i="17"/>
  <c r="S128" i="17"/>
  <c r="T128" i="17"/>
  <c r="U128" i="17"/>
  <c r="V128" i="17"/>
  <c r="W128" i="17"/>
  <c r="X128" i="17"/>
  <c r="Y128" i="17"/>
  <c r="AA128" i="17"/>
  <c r="A129" i="17"/>
  <c r="D129" i="17"/>
  <c r="E129" i="17"/>
  <c r="F129" i="17"/>
  <c r="I129" i="17"/>
  <c r="J129" i="17"/>
  <c r="K129" i="17"/>
  <c r="L129" i="17"/>
  <c r="N129" i="17"/>
  <c r="Q129" i="17"/>
  <c r="R129" i="17"/>
  <c r="S129" i="17"/>
  <c r="T129" i="17"/>
  <c r="U129" i="17"/>
  <c r="V129" i="17"/>
  <c r="W129" i="17"/>
  <c r="X129" i="17"/>
  <c r="Y129" i="17"/>
  <c r="AA129" i="17"/>
  <c r="AD129" i="17"/>
  <c r="A130" i="17"/>
  <c r="D130" i="17"/>
  <c r="E130" i="17"/>
  <c r="I130" i="17"/>
  <c r="J130" i="17"/>
  <c r="K130" i="17"/>
  <c r="L130" i="17"/>
  <c r="N130" i="17"/>
  <c r="Q130" i="17"/>
  <c r="R130" i="17"/>
  <c r="S130" i="17"/>
  <c r="T130" i="17"/>
  <c r="U130" i="17"/>
  <c r="V130" i="17"/>
  <c r="W130" i="17"/>
  <c r="X130" i="17"/>
  <c r="Y130" i="17"/>
  <c r="AA130" i="17"/>
  <c r="AB130" i="17"/>
  <c r="A131" i="17"/>
  <c r="D131" i="17"/>
  <c r="E131" i="17"/>
  <c r="I131" i="17"/>
  <c r="J131" i="17"/>
  <c r="K131" i="17"/>
  <c r="L131" i="17"/>
  <c r="N131" i="17"/>
  <c r="Q131" i="17"/>
  <c r="R131" i="17"/>
  <c r="S131" i="17"/>
  <c r="T131" i="17"/>
  <c r="U131" i="17"/>
  <c r="V131" i="17"/>
  <c r="W131" i="17"/>
  <c r="X131" i="17"/>
  <c r="Y131" i="17"/>
  <c r="AA131" i="17"/>
  <c r="A132" i="17"/>
  <c r="D132" i="17"/>
  <c r="E132" i="17"/>
  <c r="I132" i="17"/>
  <c r="J132" i="17"/>
  <c r="K132" i="17"/>
  <c r="L132" i="17"/>
  <c r="N132" i="17"/>
  <c r="Q132" i="17"/>
  <c r="R132" i="17"/>
  <c r="S132" i="17"/>
  <c r="T132" i="17"/>
  <c r="U132" i="17"/>
  <c r="V132" i="17"/>
  <c r="W132" i="17"/>
  <c r="X132" i="17"/>
  <c r="Y132" i="17"/>
  <c r="AA132" i="17"/>
  <c r="A133" i="17"/>
  <c r="D133" i="17"/>
  <c r="E133" i="17"/>
  <c r="I133" i="17"/>
  <c r="J133" i="17"/>
  <c r="K133" i="17"/>
  <c r="L133" i="17"/>
  <c r="N133" i="17"/>
  <c r="Q133" i="17"/>
  <c r="R133" i="17"/>
  <c r="S133" i="17"/>
  <c r="T133" i="17"/>
  <c r="U133" i="17"/>
  <c r="V133" i="17"/>
  <c r="W133" i="17"/>
  <c r="X133" i="17"/>
  <c r="Y133" i="17"/>
  <c r="AA133" i="17"/>
  <c r="A134" i="17"/>
  <c r="D134" i="17"/>
  <c r="E134" i="17"/>
  <c r="I134" i="17"/>
  <c r="J134" i="17"/>
  <c r="K134" i="17"/>
  <c r="L134" i="17"/>
  <c r="N134" i="17"/>
  <c r="Q134" i="17"/>
  <c r="R134" i="17"/>
  <c r="S134" i="17"/>
  <c r="T134" i="17"/>
  <c r="U134" i="17"/>
  <c r="V134" i="17"/>
  <c r="W134" i="17"/>
  <c r="X134" i="17"/>
  <c r="Y134" i="17"/>
  <c r="AA134" i="17"/>
  <c r="A135" i="17"/>
  <c r="E135" i="17"/>
  <c r="I135" i="17"/>
  <c r="J135" i="17"/>
  <c r="K135" i="17"/>
  <c r="L135" i="17"/>
  <c r="N135" i="17"/>
  <c r="Q135" i="17"/>
  <c r="R135" i="17"/>
  <c r="S135" i="17"/>
  <c r="T135" i="17"/>
  <c r="U135" i="17"/>
  <c r="V135" i="17"/>
  <c r="X135" i="17"/>
  <c r="Y135" i="17"/>
  <c r="AA135" i="17"/>
  <c r="A136" i="17"/>
  <c r="I136" i="17"/>
  <c r="J136" i="17"/>
  <c r="K136" i="17"/>
  <c r="L136" i="17"/>
  <c r="N136" i="17"/>
  <c r="Q136" i="17"/>
  <c r="R136" i="17"/>
  <c r="T136" i="17"/>
  <c r="U136" i="17"/>
  <c r="V136" i="17"/>
  <c r="X136" i="17"/>
  <c r="Y136" i="17"/>
  <c r="AA136" i="17"/>
  <c r="A137" i="17"/>
  <c r="I137" i="17"/>
  <c r="J137" i="17"/>
  <c r="L137" i="17"/>
  <c r="N137" i="17"/>
  <c r="Q137" i="17"/>
  <c r="R137" i="17"/>
  <c r="T137" i="17"/>
  <c r="U137" i="17"/>
  <c r="X137" i="17"/>
  <c r="Y137" i="17"/>
  <c r="AA137" i="17"/>
  <c r="I138" i="17"/>
  <c r="J138" i="17"/>
  <c r="L138" i="17"/>
  <c r="N138" i="17"/>
  <c r="R138" i="17"/>
  <c r="T138" i="17"/>
  <c r="U138" i="17"/>
  <c r="X138" i="17"/>
  <c r="Y138" i="17"/>
  <c r="AA138" i="17"/>
  <c r="I139" i="17"/>
  <c r="J139" i="17"/>
  <c r="L139" i="17"/>
  <c r="N139" i="17"/>
  <c r="R139" i="17"/>
  <c r="T139" i="17"/>
  <c r="U139" i="17"/>
  <c r="Y139" i="17"/>
  <c r="AA139" i="17"/>
  <c r="I140" i="17"/>
  <c r="J140" i="17"/>
  <c r="L140" i="17"/>
  <c r="N140" i="17"/>
  <c r="R140" i="17"/>
  <c r="T140" i="17"/>
  <c r="U140" i="17"/>
  <c r="Y140" i="17"/>
  <c r="AA140" i="17"/>
  <c r="I141" i="17"/>
  <c r="J141" i="17"/>
  <c r="L141" i="17"/>
  <c r="N141" i="17"/>
  <c r="R141" i="17"/>
  <c r="T141" i="17"/>
  <c r="U141" i="17"/>
  <c r="Y141" i="17"/>
  <c r="J142" i="17"/>
  <c r="L142" i="17"/>
  <c r="N142" i="17"/>
  <c r="R142" i="17"/>
  <c r="T142" i="17"/>
  <c r="U142" i="17"/>
  <c r="L143" i="17"/>
  <c r="N143" i="17"/>
  <c r="T143" i="17"/>
  <c r="U143" i="17"/>
  <c r="L144" i="17"/>
  <c r="N144" i="17"/>
  <c r="T144" i="17"/>
  <c r="AC144" i="17"/>
  <c r="L145" i="17"/>
  <c r="N145" i="17"/>
  <c r="T145" i="17"/>
  <c r="L146" i="17"/>
  <c r="N146" i="17"/>
  <c r="N147" i="17"/>
  <c r="A162" i="17"/>
  <c r="C162" i="17"/>
  <c r="A163" i="17"/>
  <c r="C163" i="17"/>
  <c r="A164" i="17"/>
  <c r="C164" i="17"/>
  <c r="A165" i="17"/>
  <c r="A166" i="17"/>
  <c r="A167" i="17"/>
  <c r="A168" i="17"/>
  <c r="A169" i="17"/>
  <c r="A170" i="17"/>
  <c r="A171" i="17"/>
  <c r="A172" i="17"/>
  <c r="A173" i="17"/>
  <c r="A174" i="17"/>
  <c r="A175" i="17"/>
  <c r="A176" i="17"/>
  <c r="A177" i="17"/>
  <c r="A180" i="17"/>
  <c r="A181" i="17"/>
  <c r="A193" i="17"/>
  <c r="A194" i="17"/>
  <c r="E194" i="17"/>
  <c r="A195" i="17"/>
  <c r="E195" i="17"/>
  <c r="A196" i="17"/>
  <c r="E196" i="17"/>
  <c r="A197" i="17"/>
  <c r="E197" i="17"/>
  <c r="A198" i="17"/>
  <c r="E198" i="17"/>
  <c r="A199" i="17"/>
  <c r="E199" i="17"/>
  <c r="A200" i="17"/>
  <c r="E200" i="17"/>
  <c r="A201" i="17"/>
  <c r="E201" i="17"/>
  <c r="A202" i="17"/>
  <c r="E202" i="17"/>
  <c r="A203" i="17"/>
  <c r="E203" i="17"/>
  <c r="A204" i="17"/>
  <c r="E204" i="17"/>
  <c r="A205" i="17"/>
  <c r="E205" i="17"/>
  <c r="A206" i="17"/>
  <c r="E206" i="17"/>
  <c r="A207" i="17"/>
  <c r="E207" i="17"/>
  <c r="A208" i="17"/>
  <c r="E208" i="17"/>
  <c r="A209" i="17"/>
  <c r="E209" i="17"/>
  <c r="A210" i="17"/>
  <c r="E210" i="17"/>
  <c r="A211" i="17"/>
  <c r="E211" i="17"/>
  <c r="A212" i="17"/>
  <c r="E212" i="17"/>
  <c r="A213" i="17"/>
  <c r="E213" i="17"/>
  <c r="A214" i="17"/>
  <c r="E214" i="17"/>
  <c r="A215" i="17"/>
  <c r="E215" i="17"/>
  <c r="A216" i="17"/>
  <c r="E216" i="17"/>
  <c r="A217" i="17"/>
  <c r="E217" i="17"/>
  <c r="A218" i="17"/>
  <c r="E218" i="17"/>
  <c r="A219" i="17"/>
  <c r="E219" i="17"/>
  <c r="A220" i="17"/>
  <c r="E220" i="17"/>
  <c r="A221" i="17"/>
  <c r="E221" i="17"/>
  <c r="A222" i="17"/>
  <c r="E222" i="17"/>
  <c r="A223" i="17"/>
  <c r="E223" i="17"/>
  <c r="A224" i="17"/>
  <c r="E224" i="17"/>
  <c r="A225" i="17"/>
  <c r="E225" i="17"/>
  <c r="A226" i="17"/>
  <c r="E226" i="17"/>
  <c r="A227" i="17"/>
  <c r="E227" i="17"/>
  <c r="A228" i="17"/>
  <c r="E228" i="17"/>
  <c r="A229" i="17"/>
  <c r="A230" i="17"/>
  <c r="A231" i="17"/>
  <c r="A232" i="17"/>
  <c r="A233" i="17"/>
  <c r="A234" i="17"/>
  <c r="A235" i="17"/>
  <c r="A236" i="17"/>
  <c r="A237" i="17"/>
  <c r="A238" i="17"/>
  <c r="A239" i="17"/>
  <c r="A240" i="17"/>
  <c r="A241" i="17"/>
  <c r="A242" i="17"/>
  <c r="A243" i="17"/>
  <c r="A244" i="17"/>
  <c r="A245" i="17"/>
  <c r="A246" i="17"/>
  <c r="A247" i="17"/>
  <c r="A248" i="17"/>
  <c r="I4" i="17"/>
  <c r="AA23" i="17"/>
  <c r="AA4" i="17" s="1"/>
  <c r="AF7" i="17"/>
  <c r="AF4" i="17" s="1"/>
  <c r="AR7" i="17" l="1"/>
  <c r="K4" i="17"/>
  <c r="AP7" i="17"/>
  <c r="AS6" i="17"/>
  <c r="AV6" i="17"/>
  <c r="AV4" i="17" s="1"/>
  <c r="L147" i="17"/>
  <c r="AN7" i="17"/>
  <c r="AN4" i="17" s="1"/>
  <c r="AX6" i="17"/>
  <c r="AX4" i="17" s="1"/>
  <c r="Y142" i="17"/>
  <c r="BC7" i="17"/>
  <c r="AU6" i="17"/>
  <c r="AU4" i="17" s="1"/>
  <c r="AY6" i="17"/>
  <c r="BE7" i="17"/>
  <c r="AT7" i="17"/>
  <c r="AT4" i="17" s="1"/>
  <c r="AZ7" i="17"/>
  <c r="P139" i="17"/>
  <c r="BB6" i="17"/>
  <c r="Q138" i="17"/>
  <c r="BA7" i="17"/>
  <c r="BA4" i="17" s="1"/>
  <c r="AQ6" i="17"/>
  <c r="AQ4" i="17" s="1"/>
  <c r="D4" i="17"/>
  <c r="X139" i="17"/>
  <c r="X4" i="17"/>
  <c r="S136" i="17"/>
  <c r="S4" i="17"/>
  <c r="O4" i="17"/>
  <c r="O128" i="17"/>
  <c r="G7" i="17"/>
  <c r="G128" i="17" s="1"/>
  <c r="AY4" i="17"/>
  <c r="R143" i="17"/>
  <c r="R4" i="17"/>
  <c r="G39" i="17"/>
  <c r="Z4" i="17"/>
  <c r="Z127" i="17"/>
  <c r="F9" i="17"/>
  <c r="F130" i="17" s="1"/>
  <c r="AB4" i="17"/>
  <c r="V137" i="17"/>
  <c r="V4" i="17"/>
  <c r="T146" i="17"/>
  <c r="T4" i="17"/>
  <c r="U144" i="17"/>
  <c r="U4" i="17"/>
  <c r="J143" i="17"/>
  <c r="J4" i="17"/>
  <c r="W4" i="17"/>
  <c r="W135" i="17"/>
  <c r="N4" i="17"/>
  <c r="N148" i="17"/>
  <c r="E136" i="17"/>
  <c r="E4" i="17"/>
  <c r="AP4" i="17"/>
  <c r="BF7" i="17"/>
  <c r="BF6" i="17"/>
  <c r="BD7" i="17"/>
  <c r="BD6" i="17"/>
  <c r="BC4" i="17"/>
  <c r="AS4" i="17"/>
  <c r="AZ4" i="17"/>
  <c r="BB4" i="17"/>
  <c r="BE4" i="17"/>
  <c r="AW6" i="17"/>
  <c r="AW7" i="17"/>
  <c r="AO6" i="17"/>
  <c r="AO4" i="17" s="1"/>
  <c r="AG14" i="17"/>
  <c r="AG4" i="17" s="1"/>
  <c r="AR4" i="17"/>
  <c r="G4" i="17" l="1"/>
  <c r="BF4" i="17"/>
  <c r="F4" i="17"/>
  <c r="AW4" i="17"/>
  <c r="BD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Kefer, Hanna</author>
  </authors>
  <commentList>
    <comment ref="E1360" authorId="0" shapeId="0" xr:uid="{00000000-0006-0000-1100-000001000000}">
      <text>
        <r>
          <rPr>
            <b/>
            <sz val="9"/>
            <color indexed="81"/>
            <rFont val="Tahoma"/>
            <family val="2"/>
          </rPr>
          <t>Kefer, Hanna:</t>
        </r>
        <r>
          <rPr>
            <sz val="9"/>
            <color indexed="81"/>
            <rFont val="Tahoma"/>
            <family val="2"/>
          </rPr>
          <t xml:space="preserve">
double check
</t>
        </r>
      </text>
    </comment>
    <comment ref="E1838" authorId="0" shapeId="0" xr:uid="{00000000-0006-0000-1100-000002000000}">
      <text>
        <r>
          <rPr>
            <b/>
            <sz val="9"/>
            <color indexed="81"/>
            <rFont val="Tahoma"/>
            <family val="2"/>
          </rPr>
          <t>Kefer, Hanna:</t>
        </r>
        <r>
          <rPr>
            <sz val="9"/>
            <color indexed="81"/>
            <rFont val="Tahoma"/>
            <family val="2"/>
          </rPr>
          <t xml:space="preserve">
double check
</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11">
    <s v="ThisWorkbookDataModel"/>
    <s v="[Measures].[Summe von SLICE]"/>
    <s v="[HTT_MORTGAGE_LOAN].[sektor_2].&amp;[RES]"/>
    <s v="[HTT_MORTGAGE_LOAN].[SEGMENT].&amp;[COM]"/>
    <s v="[Measures].[Anzahl von KONTONUMMER]"/>
    <s v="[HTT_MORTGAGE_LOAN].[sektor_2].&amp;[COM]"/>
    <s v="[HTT_MORTGAGE_LOAN].[SEGMENT].&amp;[DE]"/>
    <s v="[HTT_PUBLIC_SECTOR_LOAN].[REGION].&amp;[Burgenland]"/>
    <s v="[HTT_PUBLIC_SECTOR_LOAN].[REGION].&amp;[Salzburg]"/>
    <s v="[HTT_PUBLIC_SECTOR_LOAN].[REGION].&amp;[Steiermark]"/>
    <s v="[HTT_PUBLIC_SECTOR_LOAN].[REGION].&amp;[Tirol]"/>
    <s v="[HTT_PUBLIC_SECTOR_LOAN].[REGION].&amp;[Vorarlberg]"/>
    <s v="[HTT_PUBLIC_SECTOR_LOAN].[REGION].&amp;[Wien]"/>
    <s v="[HTT_MORTGAGE_LOAN].[SLICE_BUCKET].&amp;[&lt;100.000]"/>
    <s v="[HTT_MORTGAGE_LOAN].[SLICE_BUCKET].&amp;[&gt;=100.000-&lt;300.000]"/>
    <s v="[HTT_MORTGAGE_LOAN].[SLICE_BUCKET].&amp;[&gt;=300.000-&lt;500.000]"/>
    <s v="[HTT_MORTGAGE_LOAN].[SLICE_BUCKET].&amp;[&gt;=500.000-&lt;1.000.000]"/>
    <s v="[HTT_MORTGAGE_LOAN].[SLICE_BUCKET].&amp;[&gt;=1.000.000-&lt;5.000.000]"/>
    <s v="[HTT_MORTGAGE_LOAN].[SLICE_BUCKET].&amp;[&gt;=5.000.000]"/>
    <s v="[HTT_MORTGAGE_LOAN].[LTV_BUCKET].&amp;[&gt;0-&lt;=40%]"/>
    <s v="[HTT_MORTGAGE_LOAN].[LTV_BUCKET].&amp;[&gt;40-&lt;=50%]"/>
    <s v="[HTT_MORTGAGE_LOAN].[LTV_BUCKET].&amp;[&gt;50-&lt;=60%]"/>
    <s v="[HTT_MORTGAGE_LOAN].[LTV_BUCKET].&amp;[&gt;60-&lt;=70%]"/>
    <s v="[HTT_MORTGAGE_LOAN].[LTV_BUCKET].&amp;[&gt;70-&lt;=80%]"/>
    <s v="[HTT_MORTGAGE_LOAN].[LTV_BUCKET].&amp;[&gt;80-&lt;=90%]"/>
    <s v="[HTT_MORTGAGE_LOAN].[LTV_BUCKET].&amp;[&gt;90-&lt;=100%]"/>
    <s v="[HTT_MORTGAGE_LOAN].[LTV_BUCKET].&amp;[&gt;100%]"/>
    <s v="[Measures].[Summe von SLICE 2]"/>
    <s v="[Measures].[Summe von SLICE 6]"/>
    <s v="[HTT_RESIDENTIAL_TOP10].[DATUM].&amp;[2023-06-30T00:00:00]"/>
    <s v="[Measures].[Summe von SLICE 3]"/>
    <s v="[HTT_COMMERCIAL_TOP10].[DATUM].&amp;[2023-06-30T00:00:00]"/>
    <s v="[Measures].[Summe von SLICE 4]"/>
    <s v="[HTT_MORTGAGE_TOP10].[DATUM].&amp;[2023-06-30T00:00:00]"/>
    <s v="[HTT_MORTGAGE_LOAN].[DATUM].&amp;[2023-06-30T00:00:00]"/>
    <s v="[HTT_COVERED_BOND].[DATUM].&amp;[2023-06-30T00:00:00]"/>
    <s v="[Measures].[Summe von NOMINALE_EUR]"/>
    <s v="[HTT_COVERED_BOND].[DS_ZUORDNUNG].&amp;[J_M]"/>
    <s v="[HTT_COVERED_BOND].[DS_ZUORDNUNG].&amp;[J_P]"/>
    <s v="[HTT_MORTGAGE_LOAN].[RESIDUAL_LIFE_BUCKET].&amp;[&lt;1y]"/>
    <s v="[HTT_MORTGAGE_LOAN].[RESIDUAL_LIFE_BUCKET].&amp;[&gt;=1-&lt;2y]"/>
    <s v="[HTT_MORTGAGE_LOAN].[RESIDUAL_LIFE_BUCKET].&amp;[&gt;=2-&lt;3y]"/>
    <s v="[HTT_MORTGAGE_LOAN].[RESIDUAL_LIFE_BUCKET].&amp;[&gt;=3-&lt;4y]"/>
    <s v="[HTT_MORTGAGE_LOAN].[RESIDUAL_LIFE_BUCKET].&amp;[&gt;=4-&lt;5y]"/>
    <s v="[HTT_MORTGAGE_LOAN].[RESIDUAL_LIFE_BUCKET].&amp;[&gt;=5-&lt;10y]"/>
    <s v="[HTT_MORTGAGE_LOAN].[RESIDUAL_LIFE_BUCKET].&amp;[&gt;=10Y]"/>
    <s v="[HTT_COVERED_BOND].[MATURITY_BUCKET].&amp;[&lt;1y]"/>
    <s v="[HTT_COVERED_BOND].[MATURITY_BUCKET].&amp;[&gt;=1-&lt;2y]"/>
    <s v="[HTT_COVERED_BOND].[MATURITY_BUCKET].&amp;[&gt;=2-&lt;3y]"/>
    <s v="[HTT_COVERED_BOND].[MATURITY_BUCKET].&amp;[&gt;=3-&lt;4y]"/>
    <s v="[HTT_COVERED_BOND].[MATURITY_BUCKET].&amp;[&gt;=4-&lt;5y]"/>
    <s v="[HTT_COVERED_BOND].[MATURITY_BUCKET].&amp;[&gt;=5-&lt;10y]"/>
    <s v="[HTT_COVERED_BOND].[MATURITY_BUCKET].&amp;[&gt;=10y]"/>
    <s v="[HTT_MORTGAGE_LOAN].[CURRENCY].&amp;[CHF]"/>
    <s v="[HTT_MORTGAGE_LOAN].[CURRENCY].&amp;[EUR]"/>
    <s v="[HTT_MORTGAGE_LOAN].[ELIGIBLE_FOR_00].&amp;[Yes]"/>
    <s v="[HTT_PUBLIC_SECTOR_LOAN].[RESIDUAL_LIFE_BUCKET].&amp;[&lt;1y]"/>
    <s v="[HTT_PUBLIC_SECTOR_LOAN].[RESIDUAL_LIFE_BUCKET].&amp;[&gt;=1-&lt;2y]"/>
    <s v="[HTT_PUBLIC_SECTOR_LOAN].[RESIDUAL_LIFE_BUCKET].&amp;[&gt;=2-&lt;3y]"/>
    <s v="[HTT_PUBLIC_SECTOR_LOAN].[RESIDUAL_LIFE_BUCKET].&amp;[&gt;=3-&lt;4y]"/>
    <s v="[HTT_PUBLIC_SECTOR_LOAN].[RESIDUAL_LIFE_BUCKET].&amp;[&gt;=4-&lt;5y]"/>
    <s v="[HTT_PUBLIC_SECTOR_LOAN].[RESIDUAL_LIFE_BUCKET].&amp;[&gt;=5-&lt;10y]"/>
    <s v="[HTT_PUBLIC_SECTOR_LOAN].[RESIDUAL_LIFE_BUCKET].&amp;[&gt;=10Y]"/>
    <s v="[HTT_PUBLIC_SECTOR_LOAN].[CURRENCY].&amp;[CHF]"/>
    <s v="[HTT_PUBLIC_SECTOR_LOAN].[CURRENCY].&amp;[EUR]"/>
    <s v="[HTT_PUBLIC_SECTOR_LOAN].[ELIGIBLE_FOR_00].&amp;[Yes]"/>
    <s v="[HTT_MORTGAGE_LOAN].[REGION].&amp;[Burgenland]"/>
    <s v="[HTT_MORTGAGE_LOAN].[REGION].&amp;[Kärnten]"/>
    <s v="[HTT_MORTGAGE_LOAN].[REGION].&amp;[Niederösterreich]"/>
    <s v="[HTT_MORTGAGE_LOAN].[REGION].&amp;[Oberösterreich]"/>
    <s v="[HTT_MORTGAGE_LOAN].[REGION].&amp;[Salzburg]"/>
    <s v="[HTT_MORTGAGE_LOAN].[REGION].&amp;[Steiermark]"/>
    <s v="[HTT_MORTGAGE_LOAN].[REGION].&amp;[Tirol]"/>
    <s v="[HTT_MORTGAGE_LOAN].[REGION].&amp;[Vorarlberg]"/>
    <s v="[HTT_MORTGAGE_LOAN].[REGION].&amp;[Wien]"/>
    <s v="[HTT_MORTGAGE_LOAN].[INTEREST_RATE_TYPE].&amp;[F]"/>
    <s v="[HTT_MORTGAGE_LOAN].[INTEREST_RATE_TYPE].&amp;[V]"/>
    <s v="[HTT_MORTGAGE_LOAN].[REPAYMENT_TYPE].&amp;"/>
    <s v="[HTT_MORTGAGE_LOAN].[REPAYMENT_TYPE].&amp;[Amortising]"/>
    <s v="[HTT_MORTGAGE_LOAN].[REPAYMENT_TYPE].&amp;[Bullet]"/>
    <s v="[HTT_MORTGAGE_LOAN].[SEASONING_BUCKET].&amp;[&lt;12m]"/>
    <s v="[HTT_MORTGAGE_LOAN].[SEASONING_BUCKET].&amp;[&gt;=12-&lt;24m]"/>
    <s v="[HTT_MORTGAGE_LOAN].[SEASONING_BUCKET].&amp;[&gt;=24-&lt;36m]"/>
    <s v="[HTT_MORTGAGE_LOAN].[SEASONING_BUCKET].&amp;[&gt;=36-&lt;60m]"/>
    <s v="[HTT_MORTGAGE_LOAN].[SEASONING_BUCKET].&amp;[&gt;=60m]"/>
    <s v="[HTT_MORTGAGE_LOAN].[OCCUPANCY_TYPE].&amp;[Agricultural]"/>
    <s v="[HTT_MORTGAGE_LOAN].[OCCUPANCY_TYPE].&amp;[Buy-to-let/Non-owner occupied]"/>
    <s v="[HTT_MORTGAGE_LOAN].[OCCUPANCY_TYPE].&amp;[Owner occupied]"/>
    <s v="[HTT_MORTGAGE_LOAN].[OCCUPANCY_TYPE].&amp;[Second home/Holiday houses]"/>
    <s v="[HTT_PUBLIC_SECTOR_LOAN].[SLICE_BUCKET].&amp;[&lt;100.000]"/>
    <s v="[HTT_PUBLIC_SECTOR_LOAN].[SLICE_BUCKET].&amp;[&gt;=100.000-&lt;300.000]"/>
    <s v="[HTT_PUBLIC_SECTOR_LOAN].[SLICE_BUCKET].&amp;[&gt;=300.000-&lt;500.000]"/>
    <s v="[HTT_PUBLIC_SECTOR_LOAN].[SLICE_BUCKET].&amp;[&gt;=500.000-&lt;1.000.000]"/>
    <s v="[HTT_PUBLIC_SECTOR_LOAN].[SLICE_BUCKET].&amp;[&gt;=1.000.000-&lt;5.000.000]"/>
    <s v="[HTT_PUBLIC_SECTOR_LOAN].[SLICE_BUCKET].&amp;[&gt;=5.000.000]"/>
    <s v="[HTT_PUBLIC_SECTOR_LOAN].[DEBTOR_TYPE].&amp;[BUN]"/>
    <s v="[HTT_PUBLIC_SECTOR_LOAN].[DEBTOR_TYPE].&amp;[GEM]"/>
    <s v="[HTT_PUBLIC_SECTOR_LOAN].[DEBTOR_TYPE].&amp;[LAN]"/>
    <s v="[HTT_PUBLIC_SECTOR_LOAN].[REPAYMENT_TYPE].&amp;[Amortising]"/>
    <s v="[HTT_PUBLIC_SECTOR_LOAN].[REPAYMENT_TYPE].&amp;[Bullet]"/>
    <s v="[HTT_PUBLIC_SECTOR_LOAN].[INTEREST_RATE_TYPE].&amp;"/>
    <s v="[HTT_PUBLIC_SECTOR_LOAN].[INTEREST_RATE_TYPE].&amp;[F]"/>
    <s v="[HTT_PUBLIC_SECTOR_LOAN].[INTEREST_RATE_TYPE].&amp;[V]"/>
    <s v="[Measures].[Anzahl von KONTONUMMER 2]"/>
    <s v="[Measures].[Summe von gewichtet LTV]"/>
    <s v="[Measures].[Summe von Rlfzt_gewichtet_public]"/>
    <s v="[Measures].[Summe von Rlfzt_gewichtet_Mortgage]"/>
    <s v="[Measures].[Summe von gewichtet_Restlaufzeit_bonds]"/>
    <s v="[HTT_MORTGAGE_LOAN].[COUNTRY].&amp;[Netherlands]"/>
    <s v="[HTT_MORTGAGE_LOAN].[SEGMENT].&amp;[RES]"/>
    <s v="[HTT_MORTGAGE_LOAN].[SEGMENT].&amp;[WBG]"/>
  </metadataStrings>
  <mdxMetadata count="107">
    <mdx n="0" f="m">
      <t c="1">
        <n x="7"/>
      </t>
    </mdx>
    <mdx n="0" f="m">
      <t c="1">
        <n x="8"/>
      </t>
    </mdx>
    <mdx n="0" f="m">
      <t c="1">
        <n x="9"/>
      </t>
    </mdx>
    <mdx n="0" f="m">
      <t c="1">
        <n x="10"/>
      </t>
    </mdx>
    <mdx n="0" f="m">
      <t c="1">
        <n x="11"/>
      </t>
    </mdx>
    <mdx n="0" f="m">
      <t c="1">
        <n x="12"/>
      </t>
    </mdx>
    <mdx n="0" f="v">
      <t c="2">
        <n x="28"/>
        <n x="29"/>
      </t>
    </mdx>
    <mdx n="0" f="v">
      <t c="2">
        <n x="30"/>
        <n x="31"/>
      </t>
    </mdx>
    <mdx n="0" f="v">
      <t c="2">
        <n x="32"/>
        <n x="33"/>
      </t>
    </mdx>
    <mdx n="0" f="m">
      <t c="1">
        <n x="34"/>
      </t>
    </mdx>
    <mdx n="0" f="m">
      <t c="1">
        <n x="1"/>
      </t>
    </mdx>
    <mdx n="0" f="m">
      <t c="1">
        <n x="35"/>
      </t>
    </mdx>
    <mdx n="0" f="m">
      <t c="1">
        <n x="36"/>
      </t>
    </mdx>
    <mdx n="0" f="m">
      <t c="1">
        <n x="37"/>
      </t>
    </mdx>
    <mdx n="0" f="m">
      <t c="1">
        <n x="38"/>
      </t>
    </mdx>
    <mdx n="0" f="m">
      <t c="1">
        <n x="27"/>
      </t>
    </mdx>
    <mdx n="0" f="m">
      <t c="1">
        <n x="39"/>
      </t>
    </mdx>
    <mdx n="0" f="m">
      <t c="1">
        <n x="40"/>
      </t>
    </mdx>
    <mdx n="0" f="m">
      <t c="1">
        <n x="41"/>
      </t>
    </mdx>
    <mdx n="0" f="m">
      <t c="1">
        <n x="42"/>
      </t>
    </mdx>
    <mdx n="0" f="m">
      <t c="1">
        <n x="43"/>
      </t>
    </mdx>
    <mdx n="0" f="m">
      <t c="1">
        <n x="44"/>
      </t>
    </mdx>
    <mdx n="0" f="m">
      <t c="1">
        <n x="45"/>
      </t>
    </mdx>
    <mdx n="0" f="m">
      <t c="1">
        <n x="46"/>
      </t>
    </mdx>
    <mdx n="0" f="m">
      <t c="1">
        <n x="47"/>
      </t>
    </mdx>
    <mdx n="0" f="m">
      <t c="1">
        <n x="48"/>
      </t>
    </mdx>
    <mdx n="0" f="m">
      <t c="1">
        <n x="49"/>
      </t>
    </mdx>
    <mdx n="0" f="m">
      <t c="1">
        <n x="50"/>
      </t>
    </mdx>
    <mdx n="0" f="m">
      <t c="1">
        <n x="51"/>
      </t>
    </mdx>
    <mdx n="0" f="m">
      <t c="1">
        <n x="52"/>
      </t>
    </mdx>
    <mdx n="0" f="m">
      <t c="1">
        <n x="53"/>
      </t>
    </mdx>
    <mdx n="0" f="m">
      <t c="1">
        <n x="54"/>
      </t>
    </mdx>
    <mdx n="0" f="m">
      <t c="1">
        <n x="55"/>
      </t>
    </mdx>
    <mdx n="0" f="m">
      <t c="1">
        <n x="56"/>
      </t>
    </mdx>
    <mdx n="0" f="m">
      <t c="1">
        <n x="57"/>
      </t>
    </mdx>
    <mdx n="0" f="m">
      <t c="1">
        <n x="58"/>
      </t>
    </mdx>
    <mdx n="0" f="m">
      <t c="1">
        <n x="59"/>
      </t>
    </mdx>
    <mdx n="0" f="m">
      <t c="1">
        <n x="60"/>
      </t>
    </mdx>
    <mdx n="0" f="m">
      <t c="1">
        <n x="61"/>
      </t>
    </mdx>
    <mdx n="0" f="m">
      <t c="1">
        <n x="62"/>
      </t>
    </mdx>
    <mdx n="0" f="m">
      <t c="1">
        <n x="63"/>
      </t>
    </mdx>
    <mdx n="0" f="m">
      <t c="1">
        <n x="64"/>
      </t>
    </mdx>
    <mdx n="0" f="m">
      <t c="1">
        <n x="65"/>
      </t>
    </mdx>
    <mdx n="0" f="m">
      <t c="1">
        <n x="3"/>
      </t>
    </mdx>
    <mdx n="0" f="m">
      <t c="1">
        <n x="4"/>
      </t>
    </mdx>
    <mdx n="0" f="m">
      <t c="1">
        <n x="66"/>
      </t>
    </mdx>
    <mdx n="0" f="m">
      <t c="1">
        <n x="67"/>
      </t>
    </mdx>
    <mdx n="0" f="m">
      <t c="1">
        <n x="68"/>
      </t>
    </mdx>
    <mdx n="0" f="m">
      <t c="1">
        <n x="69"/>
      </t>
    </mdx>
    <mdx n="0" f="m">
      <t c="1">
        <n x="70"/>
      </t>
    </mdx>
    <mdx n="0" f="m">
      <t c="1">
        <n x="71"/>
      </t>
    </mdx>
    <mdx n="0" f="m">
      <t c="1">
        <n x="72"/>
      </t>
    </mdx>
    <mdx n="0" f="m">
      <t c="1">
        <n x="73"/>
      </t>
    </mdx>
    <mdx n="0" f="m">
      <t c="1">
        <n x="74"/>
      </t>
    </mdx>
    <mdx n="0" f="m">
      <t c="1">
        <n x="75"/>
      </t>
    </mdx>
    <mdx n="0" f="m">
      <t c="1">
        <n x="76"/>
      </t>
    </mdx>
    <mdx n="0" f="m">
      <t c="1">
        <n x="77"/>
      </t>
    </mdx>
    <mdx n="0" f="m">
      <t c="1">
        <n x="78"/>
      </t>
    </mdx>
    <mdx n="0" f="m">
      <t c="1">
        <n x="79"/>
      </t>
    </mdx>
    <mdx n="0" f="m">
      <t c="1">
        <n x="80"/>
      </t>
    </mdx>
    <mdx n="0" f="m">
      <t c="1">
        <n x="81"/>
      </t>
    </mdx>
    <mdx n="0" f="m">
      <t c="1">
        <n x="82"/>
      </t>
    </mdx>
    <mdx n="0" f="m">
      <t c="1">
        <n x="83"/>
      </t>
    </mdx>
    <mdx n="0" f="m">
      <t c="1">
        <n x="84"/>
      </t>
    </mdx>
    <mdx n="0" f="m">
      <t c="1">
        <n x="85"/>
      </t>
    </mdx>
    <mdx n="0" f="m">
      <t c="1">
        <n x="86"/>
      </t>
    </mdx>
    <mdx n="0" f="m">
      <t c="1">
        <n x="87"/>
      </t>
    </mdx>
    <mdx n="0" f="m">
      <t c="1">
        <n x="88"/>
      </t>
    </mdx>
    <mdx n="0" f="m">
      <t c="1">
        <n x="13"/>
      </t>
    </mdx>
    <mdx n="0" f="m">
      <t c="1">
        <n x="14"/>
      </t>
    </mdx>
    <mdx n="0" f="m">
      <t c="1">
        <n x="15"/>
      </t>
    </mdx>
    <mdx n="0" f="m">
      <t c="1">
        <n x="16"/>
      </t>
    </mdx>
    <mdx n="0" f="m">
      <t c="1">
        <n x="17"/>
      </t>
    </mdx>
    <mdx n="0" f="m">
      <t c="1">
        <n x="18"/>
      </t>
    </mdx>
    <mdx n="0" f="m">
      <t c="1">
        <n x="19"/>
      </t>
    </mdx>
    <mdx n="0" f="m">
      <t c="1">
        <n x="20"/>
      </t>
    </mdx>
    <mdx n="0" f="m">
      <t c="1">
        <n x="21"/>
      </t>
    </mdx>
    <mdx n="0" f="m">
      <t c="1">
        <n x="22"/>
      </t>
    </mdx>
    <mdx n="0" f="m">
      <t c="1">
        <n x="23"/>
      </t>
    </mdx>
    <mdx n="0" f="m">
      <t c="1">
        <n x="24"/>
      </t>
    </mdx>
    <mdx n="0" f="m">
      <t c="1">
        <n x="25"/>
      </t>
    </mdx>
    <mdx n="0" f="m">
      <t c="1">
        <n x="26"/>
      </t>
    </mdx>
    <mdx n="0" f="m">
      <t c="1">
        <n x="89"/>
      </t>
    </mdx>
    <mdx n="0" f="m">
      <t c="1">
        <n x="90"/>
      </t>
    </mdx>
    <mdx n="0" f="m">
      <t c="1">
        <n x="91"/>
      </t>
    </mdx>
    <mdx n="0" f="m">
      <t c="1">
        <n x="92"/>
      </t>
    </mdx>
    <mdx n="0" f="m">
      <t c="1">
        <n x="93"/>
      </t>
    </mdx>
    <mdx n="0" f="m">
      <t c="1">
        <n x="94"/>
      </t>
    </mdx>
    <mdx n="0" f="m">
      <t c="1">
        <n x="95"/>
      </t>
    </mdx>
    <mdx n="0" f="m">
      <t c="1">
        <n x="96"/>
      </t>
    </mdx>
    <mdx n="0" f="m">
      <t c="1">
        <n x="97"/>
      </t>
    </mdx>
    <mdx n="0" f="m">
      <t c="1">
        <n x="98"/>
      </t>
    </mdx>
    <mdx n="0" f="m">
      <t c="1">
        <n x="99"/>
      </t>
    </mdx>
    <mdx n="0" f="m">
      <t c="1">
        <n x="100"/>
      </t>
    </mdx>
    <mdx n="0" f="m">
      <t c="1">
        <n x="101"/>
      </t>
    </mdx>
    <mdx n="0" f="m">
      <t c="1">
        <n x="102"/>
      </t>
    </mdx>
    <mdx n="0" f="m">
      <t c="1">
        <n x="103"/>
      </t>
    </mdx>
    <mdx n="0" f="m">
      <t c="1">
        <n x="5"/>
      </t>
    </mdx>
    <mdx n="0" f="m">
      <t c="1">
        <n x="2"/>
      </t>
    </mdx>
    <mdx n="0" f="m">
      <t c="1">
        <n x="104"/>
      </t>
    </mdx>
    <mdx n="0" f="m">
      <t c="1">
        <n x="105"/>
      </t>
    </mdx>
    <mdx n="0" f="m">
      <t c="1">
        <n x="106"/>
      </t>
    </mdx>
    <mdx n="0" f="m">
      <t c="1">
        <n x="107"/>
      </t>
    </mdx>
    <mdx n="0" f="m">
      <t c="1">
        <n x="108"/>
      </t>
    </mdx>
    <mdx n="0" f="m">
      <t c="1">
        <n x="6"/>
      </t>
    </mdx>
    <mdx n="0" f="m">
      <t c="1">
        <n x="109"/>
      </t>
    </mdx>
    <mdx n="0" f="m">
      <t c="1">
        <n x="110"/>
      </t>
    </mdx>
  </mdxMetadata>
  <valueMetadata count="107">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valueMetadata>
</metadata>
</file>

<file path=xl/sharedStrings.xml><?xml version="1.0" encoding="utf-8"?>
<sst xmlns="http://schemas.openxmlformats.org/spreadsheetml/2006/main" count="7224" uniqueCount="4677">
  <si>
    <t>Covered Bonds: CBs input template - March 2018</t>
  </si>
  <si>
    <t xml:space="preserve">Version Number: </t>
  </si>
  <si>
    <t xml:space="preserve">Last Review Date: </t>
  </si>
  <si>
    <t>14/03/2018</t>
  </si>
  <si>
    <t xml:space="preserve">Document Owner: </t>
  </si>
  <si>
    <t>John Hogan</t>
  </si>
  <si>
    <t xml:space="preserve">Document Number: </t>
  </si>
  <si>
    <t>Version control:</t>
  </si>
  <si>
    <t xml:space="preserve">Version 4 signed off by Juan Pablo Soriano </t>
  </si>
  <si>
    <t>(Version 4 on Sharepoint, Version 5 since file creation)</t>
  </si>
  <si>
    <t>For Internal Use Only</t>
  </si>
  <si>
    <t>Content Summary:</t>
  </si>
  <si>
    <t>Data input template for issuers - quarterly monitoring</t>
  </si>
  <si>
    <t>Datum</t>
  </si>
  <si>
    <t>Total Cover Assets</t>
  </si>
  <si>
    <t>Outstanding Covered Bonds</t>
  </si>
  <si>
    <t>Coverage Requirements (§9 PfandBG AT)</t>
  </si>
  <si>
    <t>Weighted Average Life (in years)</t>
  </si>
  <si>
    <t>Residual Life (mn)</t>
  </si>
  <si>
    <t>4. Cover Pool Amortisation Profile</t>
  </si>
  <si>
    <t>Maturity (mn)</t>
  </si>
  <si>
    <t>5. Maturity of Covered Bonds</t>
  </si>
  <si>
    <t>6. Cover Assets - Currency</t>
  </si>
  <si>
    <t xml:space="preserve">7. Covered Bonds - Currency </t>
  </si>
  <si>
    <t xml:space="preserve">8. Covered Bonds - Breakdown by interest rate </t>
  </si>
  <si>
    <t xml:space="preserve">11. Liquid Assets </t>
  </si>
  <si>
    <t>5. Breakdown by regions of main country of origin</t>
  </si>
  <si>
    <t>7. Breakdown by Repayment Type</t>
  </si>
  <si>
    <t>By buckets (mn):</t>
  </si>
  <si>
    <t xml:space="preserve">4. Breakdown by Geography </t>
  </si>
  <si>
    <t xml:space="preserve">A.  Transparency Template - General Information </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</si>
  <si>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</si>
  <si>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</si>
  <si>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</si>
  <si>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</si>
  <si>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</si>
  <si>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</si>
  <si>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</si>
  <si>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</si>
  <si>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</si>
  <si>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</si>
  <si>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</si>
  <si>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</si>
  <si>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</si>
  <si>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Austria</t>
  </si>
  <si>
    <t>G.1.1.2</t>
  </si>
  <si>
    <t>Issuer Name</t>
  </si>
  <si>
    <t>BAWAG P.S.K</t>
  </si>
  <si>
    <t>G.1.1.3</t>
  </si>
  <si>
    <t>Link to Issuer's Website</t>
  </si>
  <si>
    <t xml:space="preserve">https://www.bawaggroup.com/ </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</si>
  <si>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</si>
  <si>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</si>
  <si>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</si>
  <si>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</si>
  <si>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</si>
  <si>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</si>
  <si>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</si>
  <si>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</si>
  <si>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</si>
  <si>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</si>
  <si>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</si>
  <si>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</si>
  <si>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</si>
  <si>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</si>
  <si>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</si>
  <si>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</si>
  <si>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</si>
  <si>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</si>
  <si>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</si>
  <si>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</si>
  <si>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</si>
  <si>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OG.2.1.2</t>
  </si>
  <si>
    <t>OG.2.1.3</t>
  </si>
  <si>
    <t>OG.2.1.4</t>
  </si>
  <si>
    <t>OG.2.1.5</t>
  </si>
  <si>
    <t>OG.2.1.6</t>
  </si>
  <si>
    <t>1.General Information</t>
  </si>
  <si>
    <t>Nominal (mn)</t>
  </si>
  <si>
    <t>G.3.1.1</t>
  </si>
  <si>
    <t>G.3.1.2</t>
  </si>
  <si>
    <t>OG.3.1.1</t>
  </si>
  <si>
    <t>Cover Pool Size [NPV] (mn)</t>
  </si>
  <si>
    <t>ND1</t>
  </si>
  <si>
    <t>OG.3.1.2</t>
  </si>
  <si>
    <t>Outstanding Covered Bonds [NPV] (mn)</t>
  </si>
  <si>
    <t>OG.3.1.3</t>
  </si>
  <si>
    <t>OG.3.1.4</t>
  </si>
  <si>
    <t>Coverage Requirements NPV (§9 PfandBG AT)</t>
  </si>
  <si>
    <t xml:space="preserve">2. Over-collateralisation (OC) </t>
  </si>
  <si>
    <t>Legal / Regulatory</t>
  </si>
  <si>
    <t>Actual</t>
  </si>
  <si>
    <t>Minimum Committed</t>
  </si>
  <si>
    <t>Purpose</t>
  </si>
  <si>
    <t>G.3.2.1</t>
  </si>
  <si>
    <t>OC (%)</t>
  </si>
  <si>
    <t>OG.3.2.1</t>
  </si>
  <si>
    <t>OC
(Coverage Requirements §9 PfandBG AT in % of Outstanding CB)</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</si>
  <si>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</si>
  <si>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</si>
  <si>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</si>
  <si>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</si>
  <si>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</si>
  <si>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</si>
  <si>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</si>
  <si>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</si>
  <si>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</si>
  <si>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</si>
  <si>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</si>
  <si>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</si>
  <si>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</si>
  <si>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</si>
  <si>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</si>
  <si>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</si>
  <si>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</si>
  <si>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</si>
  <si>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</si>
  <si>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</si>
  <si>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</si>
  <si>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</si>
  <si>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</si>
  <si>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</si>
  <si>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</si>
  <si>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</si>
  <si>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</si>
  <si>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</si>
  <si>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 xml:space="preserve">Contractual </t>
  </si>
  <si>
    <t xml:space="preserve">Expected Upon Prepayments </t>
  </si>
  <si>
    <t>% Total Contractual</t>
  </si>
  <si>
    <t>% Total Expected Upon Prepayments</t>
  </si>
  <si>
    <t>G.3.4.1</t>
  </si>
  <si>
    <t>By buckets:</t>
  </si>
  <si>
    <t>G.3.4.2</t>
  </si>
  <si>
    <t>0 - 1 Y</t>
  </si>
  <si>
    <t>G.3.4.3</t>
  </si>
  <si>
    <t>1 - 2 Y</t>
  </si>
  <si>
    <t>G.3.4.4</t>
  </si>
  <si>
    <t>2 - 3 Y</t>
  </si>
  <si>
    <t>G.3.4.5</t>
  </si>
  <si>
    <t>3 - 4 Y</t>
  </si>
  <si>
    <t>G.3.4.6</t>
  </si>
  <si>
    <t>4 - 5 Y</t>
  </si>
  <si>
    <t>G.3.4.7</t>
  </si>
  <si>
    <t>5 - 10 Y</t>
  </si>
  <si>
    <t>G.3.4.8</t>
  </si>
  <si>
    <t>10+ Y</t>
  </si>
  <si>
    <t>G.3.4.9</t>
  </si>
  <si>
    <t>OG.3.4.1</t>
  </si>
  <si>
    <t>o/w 0-1 day</t>
  </si>
  <si>
    <t/>
  </si>
  <si>
    <t>OG.3.4.2</t>
  </si>
  <si>
    <t>o/w 0-0.5y</t>
  </si>
  <si>
    <t>OG.3.4.3</t>
  </si>
  <si>
    <t>o/w 0.5-1 y</t>
  </si>
  <si>
    <t>OG.3.4.4</t>
  </si>
  <si>
    <t>o/w 1-1.5y</t>
  </si>
  <si>
    <t>OG.3.4.5</t>
  </si>
  <si>
    <t>o/w 1.5-2 y</t>
  </si>
  <si>
    <t>OG.3.4.6</t>
  </si>
  <si>
    <t>OG.3.4.7</t>
  </si>
  <si>
    <t>OG.3.4.8</t>
  </si>
  <si>
    <t>OG.3.4.9</t>
  </si>
  <si>
    <t>OG.3.4.10</t>
  </si>
  <si>
    <t xml:space="preserve">Initial Maturity  </t>
  </si>
  <si>
    <t xml:space="preserve">Extended Maturity </t>
  </si>
  <si>
    <t xml:space="preserve">% Total Initial Maturity </t>
  </si>
  <si>
    <t>% Total Extended Maturity</t>
  </si>
  <si>
    <t>G.3.5.1</t>
  </si>
  <si>
    <t>Weighted Average life (in years)</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</si>
  <si>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</si>
  <si>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</si>
  <si>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</si>
  <si>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</si>
  <si>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</si>
  <si>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</si>
  <si>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</si>
  <si>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</si>
  <si>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</si>
  <si>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</si>
  <si>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</si>
  <si>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</si>
  <si>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</si>
  <si>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</si>
  <si>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</si>
  <si>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</si>
  <si>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</si>
  <si>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</si>
  <si>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</si>
  <si>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</si>
  <si>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</si>
  <si>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</si>
  <si>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</si>
  <si>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</si>
  <si>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</si>
  <si>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</si>
  <si>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</si>
  <si>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</si>
  <si>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</si>
  <si>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</si>
  <si>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</si>
  <si>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</si>
  <si>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</si>
  <si>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</si>
  <si>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</si>
  <si>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</si>
  <si>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</si>
  <si>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</si>
  <si>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</si>
  <si>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</si>
  <si>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</si>
  <si>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</si>
  <si>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</si>
  <si>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</si>
  <si>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</si>
  <si>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</si>
  <si>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</si>
  <si>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</si>
  <si>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</si>
  <si>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</si>
  <si>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</si>
  <si>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</si>
  <si>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</si>
  <si>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</si>
  <si>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</si>
  <si>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</si>
  <si>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</si>
  <si>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</si>
  <si>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</si>
  <si>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</si>
  <si>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</si>
  <si>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</si>
  <si>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</si>
  <si>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</si>
  <si>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</si>
  <si>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</si>
  <si>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</si>
  <si>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</si>
  <si>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</si>
  <si>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</si>
  <si>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</si>
  <si>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</si>
  <si>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</si>
  <si>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</si>
  <si>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</si>
  <si>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</si>
  <si>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</si>
  <si>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</si>
  <si>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</si>
  <si>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</si>
  <si>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</si>
  <si>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</si>
  <si>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</si>
  <si>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</si>
  <si>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</si>
  <si>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</si>
  <si>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</si>
  <si>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</si>
  <si>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</si>
  <si>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</si>
  <si>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</si>
  <si>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</si>
  <si>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</si>
  <si>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</si>
  <si>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</si>
  <si>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</si>
  <si>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</si>
  <si>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</si>
  <si>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</si>
  <si>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</si>
  <si>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</si>
  <si>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</si>
  <si>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</si>
  <si>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</si>
  <si>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</si>
  <si>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</si>
  <si>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</si>
  <si>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</si>
  <si>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</si>
  <si>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</si>
  <si>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</si>
  <si>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</si>
  <si>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</si>
  <si>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</si>
  <si>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</si>
  <si>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</si>
  <si>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</si>
  <si>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</si>
  <si>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</si>
  <si>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</si>
  <si>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</si>
  <si>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</si>
  <si>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</si>
  <si>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</si>
  <si>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</si>
  <si>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</si>
  <si>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</si>
  <si>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</si>
  <si>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</si>
  <si>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</si>
  <si>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</si>
  <si>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</si>
  <si>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</si>
  <si>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</si>
  <si>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</si>
  <si>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</si>
  <si>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</si>
  <si>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</si>
  <si>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</si>
  <si>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</si>
  <si>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</si>
  <si>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</si>
  <si>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</si>
  <si>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</si>
  <si>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</si>
  <si>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</si>
  <si>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</si>
  <si>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</si>
  <si>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</si>
  <si>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</si>
  <si>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</si>
  <si>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</si>
  <si>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</si>
  <si>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</si>
  <si>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</si>
  <si>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</si>
  <si>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</si>
  <si>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</si>
  <si>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</si>
  <si>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</si>
  <si>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</si>
  <si>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</si>
  <si>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</si>
  <si>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</si>
  <si>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</si>
  <si>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</si>
  <si>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</si>
  <si>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</si>
  <si>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</si>
  <si>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</si>
  <si>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</si>
  <si>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</si>
  <si>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</si>
  <si>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</si>
  <si>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</si>
  <si>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</si>
  <si>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</si>
  <si>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</si>
  <si>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</si>
  <si>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</si>
  <si>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</si>
  <si>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</si>
  <si>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</si>
  <si>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</si>
  <si>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</si>
  <si>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</si>
  <si>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</si>
  <si>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</si>
  <si>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</si>
  <si>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</si>
  <si>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</si>
  <si>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</si>
  <si>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</si>
  <si>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</si>
  <si>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</si>
  <si>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</si>
  <si>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</si>
  <si>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</si>
  <si>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</si>
  <si>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</si>
  <si>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</si>
  <si>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</si>
  <si>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</si>
  <si>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</si>
  <si>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</si>
  <si>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</si>
  <si>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</si>
  <si>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(2)</t>
  </si>
  <si>
    <t>G.3.14.3</t>
  </si>
  <si>
    <t xml:space="preserve">specific criteria </t>
  </si>
  <si>
    <t>ESG</t>
  </si>
  <si>
    <t>G.3.14.4</t>
  </si>
  <si>
    <t>link to the committed objective criteria</t>
  </si>
  <si>
    <t>https://www.bawaggroup.com/BAWAGGROUP/IR/EN/ESG</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</si>
  <si>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</si>
  <si>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</si>
  <si>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</si>
  <si>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</si>
  <si>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</si>
  <si>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</si>
  <si>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</si>
  <si>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</si>
  <si>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</si>
  <si>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</si>
  <si>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</si>
  <si>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</si>
  <si>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</si>
  <si>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</si>
  <si>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</si>
  <si>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</si>
  <si>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</si>
  <si>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</si>
  <si>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</si>
  <si>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</si>
  <si>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</si>
  <si>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</si>
  <si>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</si>
  <si>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</si>
  <si>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</si>
  <si>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</si>
  <si>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</si>
  <si>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</si>
  <si>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</si>
  <si>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</si>
  <si>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</si>
  <si>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</si>
  <si>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</si>
  <si>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</si>
  <si>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</si>
  <si>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</si>
  <si>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</si>
  <si>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</si>
  <si>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</si>
  <si>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</si>
  <si>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</si>
  <si>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</si>
  <si>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</si>
  <si>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</si>
  <si>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</si>
  <si>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</si>
  <si>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</si>
  <si>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</si>
  <si>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</si>
  <si>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</si>
  <si>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</si>
  <si>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</si>
  <si>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</si>
  <si>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</si>
  <si>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</si>
  <si>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</si>
  <si>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</si>
  <si>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</si>
  <si>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</si>
  <si>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</si>
  <si>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</si>
  <si>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</si>
  <si>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</si>
  <si>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</si>
  <si>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</si>
  <si>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</si>
  <si>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</si>
  <si>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</si>
  <si>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</si>
  <si>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</si>
  <si>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</si>
  <si>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</si>
  <si>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</si>
  <si>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</si>
  <si>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</si>
  <si>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</si>
  <si>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</si>
  <si>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</si>
  <si>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</si>
  <si>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</si>
  <si>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</si>
  <si>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</si>
  <si>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</si>
  <si>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</si>
  <si>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</si>
  <si>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</si>
  <si>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</si>
  <si>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</si>
  <si>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</si>
  <si>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</si>
  <si>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</si>
  <si>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</si>
  <si>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</si>
  <si>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</si>
  <si>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</si>
  <si>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</si>
  <si>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</si>
  <si>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</si>
  <si>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</si>
  <si>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</si>
  <si>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</si>
  <si>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</si>
  <si>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</si>
  <si>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</si>
  <si>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</si>
  <si>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</si>
  <si>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</si>
  <si>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</si>
  <si>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</si>
  <si>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</si>
  <si>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</si>
  <si>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</si>
  <si>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</si>
  <si>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</si>
  <si>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</si>
  <si>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</si>
  <si>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</si>
  <si>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</si>
  <si>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</si>
  <si>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</si>
  <si>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</si>
  <si>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</si>
  <si>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</si>
  <si>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</si>
  <si>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</si>
  <si>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</si>
  <si>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</si>
  <si>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</si>
  <si>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</si>
  <si>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</si>
  <si>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</si>
  <si>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</si>
  <si>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</si>
  <si>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</si>
  <si>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</si>
  <si>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</si>
  <si>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</si>
  <si>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</si>
  <si>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</si>
  <si>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</si>
  <si>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</si>
  <si>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</si>
  <si>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</si>
  <si>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</si>
  <si>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</si>
  <si>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</si>
  <si>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</si>
  <si>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</si>
  <si>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</si>
  <si>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</si>
  <si>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</si>
  <si>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</si>
  <si>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</si>
  <si>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</si>
  <si>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</si>
  <si>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</si>
  <si>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</si>
  <si>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</si>
  <si>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</si>
  <si>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</si>
  <si>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</si>
  <si>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</si>
  <si>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</si>
  <si>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</si>
  <si>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</si>
  <si>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</si>
  <si>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</si>
  <si>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</si>
  <si>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</si>
  <si>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</si>
  <si>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</si>
  <si>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</si>
  <si>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</si>
  <si>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</si>
  <si>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</si>
  <si>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</si>
  <si>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</si>
  <si>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</si>
  <si>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</si>
  <si>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</si>
  <si>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</si>
  <si>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</si>
  <si>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</si>
  <si>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</si>
  <si>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</si>
  <si>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</si>
  <si>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</si>
  <si>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</si>
  <si>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</si>
  <si>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</si>
  <si>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</si>
  <si>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</si>
  <si>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</si>
  <si>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</si>
  <si>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M.7.4.1</t>
  </si>
  <si>
    <t>European Union</t>
  </si>
  <si>
    <t>M.7.4.2</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</si>
  <si>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</si>
  <si>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</si>
  <si>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</si>
  <si>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</si>
  <si>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</si>
  <si>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</si>
  <si>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</si>
  <si>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</si>
  <si>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</si>
  <si>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</si>
  <si>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</si>
  <si>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</si>
  <si>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</si>
  <si>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</si>
  <si>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</si>
  <si>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</si>
  <si>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</si>
  <si>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</si>
  <si>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</si>
  <si>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</si>
  <si>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</si>
  <si>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</si>
  <si>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</si>
  <si>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</si>
  <si>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</si>
  <si>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</si>
  <si>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</si>
  <si>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</si>
  <si>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</si>
  <si>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</si>
  <si>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</si>
  <si>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</si>
  <si>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</si>
  <si>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</si>
  <si>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</si>
  <si>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</si>
  <si>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</si>
  <si>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</si>
  <si>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</si>
  <si>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</si>
  <si>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</si>
  <si>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</si>
  <si>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</si>
  <si>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</si>
  <si>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</si>
  <si>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</si>
  <si>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</si>
  <si>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</si>
  <si>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</si>
  <si>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</si>
  <si>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</si>
  <si>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</si>
  <si>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</si>
  <si>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</si>
  <si>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</si>
  <si>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</si>
  <si>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</si>
  <si>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</si>
  <si>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</si>
  <si>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</si>
  <si>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</si>
  <si>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</si>
  <si>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</si>
  <si>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</si>
  <si>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</si>
  <si>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</si>
  <si>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</si>
  <si>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</si>
  <si>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</si>
  <si>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</si>
  <si>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</si>
  <si>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</si>
  <si>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</si>
  <si>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</si>
  <si>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</si>
  <si>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</si>
  <si>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</si>
  <si>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</si>
  <si>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</si>
  <si>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</si>
  <si>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</si>
  <si>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</si>
  <si>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</si>
  <si>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Burgenland</t>
  </si>
  <si>
    <t>M.7.5.2</t>
  </si>
  <si>
    <t>Kärnten</t>
  </si>
  <si>
    <t>M.7.5.3</t>
  </si>
  <si>
    <t>Niederösterreich</t>
  </si>
  <si>
    <t>M.7.5.4</t>
  </si>
  <si>
    <t>Oberösterreich</t>
  </si>
  <si>
    <t>M.7.5.5</t>
  </si>
  <si>
    <t>Salzburg</t>
  </si>
  <si>
    <t>M.7.5.6</t>
  </si>
  <si>
    <t>Steiermark</t>
  </si>
  <si>
    <t>M.7.5.7</t>
  </si>
  <si>
    <t>Tirol</t>
  </si>
  <si>
    <t>M.7.5.8</t>
  </si>
  <si>
    <t>Vorarlberg</t>
  </si>
  <si>
    <t>M.7.5.9</t>
  </si>
  <si>
    <t>Wien</t>
  </si>
  <si>
    <t>6. Breakdown by Interest Rate</t>
  </si>
  <si>
    <t>M.7.6.1</t>
  </si>
  <si>
    <t>Fixed rate</t>
  </si>
  <si>
    <t>M.7.6.2</t>
  </si>
  <si>
    <t>Floating rate</t>
  </si>
  <si>
    <t>M.7.6.3</t>
  </si>
  <si>
    <t>OM.7.6.1</t>
  </si>
  <si>
    <t>OM.7.6.2</t>
  </si>
  <si>
    <t>OM.7.6.3</t>
  </si>
  <si>
    <t>OM.7.6.4</t>
  </si>
  <si>
    <t>OM.7.6.5</t>
  </si>
  <si>
    <t>OM.7.6.6</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</si>
  <si>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</si>
  <si>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</si>
  <si>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</si>
  <si>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</si>
  <si>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</si>
  <si>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</si>
  <si>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</si>
  <si>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</si>
  <si>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</si>
  <si>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</si>
  <si>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</si>
  <si>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</si>
  <si>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</si>
  <si>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</si>
  <si>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</si>
  <si>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</si>
  <si>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</si>
  <si>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</si>
  <si>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</si>
  <si>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</si>
  <si>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</si>
  <si>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</si>
  <si>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</si>
  <si>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</si>
  <si>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</si>
  <si>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</si>
  <si>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</si>
  <si>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</si>
  <si>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</si>
  <si>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</si>
  <si>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</si>
  <si>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</si>
  <si>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</si>
  <si>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</si>
  <si>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</si>
  <si>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</si>
  <si>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</si>
  <si>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</si>
  <si>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</si>
  <si>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M.7A.10.2</t>
  </si>
  <si>
    <t>&lt; 0,1</t>
  </si>
  <si>
    <t>M.7A.10.3</t>
  </si>
  <si>
    <t>0,1 - 0,3</t>
  </si>
  <si>
    <t>M.7A.10.4</t>
  </si>
  <si>
    <t>0,3 - 0,5</t>
  </si>
  <si>
    <t>M.7A.10.5</t>
  </si>
  <si>
    <t>0,5 - 1,0</t>
  </si>
  <si>
    <t>M.7A.10.6</t>
  </si>
  <si>
    <t>1,0 - 5,0</t>
  </si>
  <si>
    <t>M.7A.10.7</t>
  </si>
  <si>
    <t>&gt; 5,0</t>
  </si>
  <si>
    <t>M.7A.10.8</t>
  </si>
  <si>
    <t>TBC at a country level</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</si>
  <si>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</si>
  <si>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</si>
  <si>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</si>
  <si>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</si>
  <si>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</si>
  <si>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</si>
  <si>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</si>
  <si>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</si>
  <si>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</si>
  <si>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</si>
  <si>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</si>
  <si>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</si>
  <si>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</si>
  <si>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</si>
  <si>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</si>
  <si>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</si>
  <si>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</si>
  <si>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</si>
  <si>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</si>
  <si>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</si>
  <si>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</si>
  <si>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</si>
  <si>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</si>
  <si>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</si>
  <si>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</si>
  <si>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</si>
  <si>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</si>
  <si>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</si>
  <si>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</si>
  <si>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</si>
  <si>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</si>
  <si>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</si>
  <si>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</si>
  <si>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</si>
  <si>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</si>
  <si>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</si>
  <si>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</si>
  <si>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</si>
  <si>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</si>
  <si>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</si>
  <si>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</si>
  <si>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</si>
  <si>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</si>
  <si>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</si>
  <si>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</si>
  <si>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</si>
  <si>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</si>
  <si>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</si>
  <si>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</si>
  <si>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</si>
  <si>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</si>
  <si>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</si>
  <si>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</si>
  <si>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</si>
  <si>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</si>
  <si>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</si>
  <si>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</si>
  <si>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</si>
  <si>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</si>
  <si>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</si>
  <si>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</si>
  <si>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</si>
  <si>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</si>
  <si>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</si>
  <si>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</si>
  <si>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</si>
  <si>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</si>
  <si>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</si>
  <si>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</si>
  <si>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</si>
  <si>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</si>
  <si>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</si>
  <si>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</si>
  <si>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</si>
  <si>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</si>
  <si>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</si>
  <si>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</si>
  <si>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</si>
  <si>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</si>
  <si>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</si>
  <si>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</si>
  <si>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</si>
  <si>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</si>
  <si>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</si>
  <si>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</si>
  <si>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</si>
  <si>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</si>
  <si>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</si>
  <si>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</si>
  <si>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</si>
  <si>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</si>
  <si>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</si>
  <si>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</si>
  <si>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</si>
  <si>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</si>
  <si>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</si>
  <si>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</si>
  <si>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</si>
  <si>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</si>
  <si>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</si>
  <si>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</si>
  <si>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</si>
  <si>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</si>
  <si>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</si>
  <si>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</si>
  <si>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</si>
  <si>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</si>
  <si>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</si>
  <si>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</si>
  <si>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</si>
  <si>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</si>
  <si>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</si>
  <si>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</si>
  <si>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</si>
  <si>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</si>
  <si>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</si>
  <si>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</si>
  <si>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</si>
  <si>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</si>
  <si>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</si>
  <si>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</si>
  <si>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</si>
  <si>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</si>
  <si>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</si>
  <si>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</si>
  <si>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</si>
  <si>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</si>
  <si>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</si>
  <si>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</si>
  <si>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</si>
  <si>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</si>
  <si>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</si>
  <si>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</si>
  <si>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</si>
  <si>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</si>
  <si>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</si>
  <si>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</si>
  <si>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</si>
  <si>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</si>
  <si>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</si>
  <si>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</si>
  <si>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</si>
  <si>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</si>
  <si>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</si>
  <si>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</si>
  <si>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</si>
  <si>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</si>
  <si>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</si>
  <si>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</si>
  <si>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</si>
  <si>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</si>
  <si>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</si>
  <si>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</si>
  <si>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</si>
  <si>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</si>
  <si>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</si>
  <si>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</si>
  <si>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</si>
  <si>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</si>
  <si>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</si>
  <si>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</si>
  <si>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</si>
  <si>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</si>
  <si>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</si>
  <si>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</si>
  <si>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</si>
  <si>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</si>
  <si>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</si>
  <si>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</si>
  <si>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</si>
  <si>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</si>
  <si>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</si>
  <si>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</si>
  <si>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</si>
  <si>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</si>
  <si>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</si>
  <si>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</si>
  <si>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</si>
  <si>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</si>
  <si>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</si>
  <si>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</si>
  <si>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</si>
  <si>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</si>
  <si>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</si>
  <si>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</si>
  <si>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</si>
  <si>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</si>
  <si>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</si>
  <si>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</si>
  <si>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</si>
  <si>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</si>
  <si>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</si>
  <si>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</si>
  <si>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</si>
  <si>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</si>
  <si>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</si>
  <si>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</si>
  <si>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</si>
  <si>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</si>
  <si>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</si>
  <si>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</si>
  <si>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</si>
  <si>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</si>
  <si>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</si>
  <si>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</si>
  <si>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</si>
  <si>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</si>
  <si>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</si>
  <si>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</si>
  <si>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</si>
  <si>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</si>
  <si>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</si>
  <si>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</si>
  <si>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</si>
  <si>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</si>
  <si>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</si>
  <si>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</si>
  <si>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</si>
  <si>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</si>
  <si>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</si>
  <si>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</si>
  <si>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</si>
  <si>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</si>
  <si>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</si>
  <si>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</si>
  <si>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</si>
  <si>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</si>
  <si>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</si>
  <si>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</si>
  <si>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</si>
  <si>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</si>
  <si>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</si>
  <si>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</si>
  <si>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</si>
  <si>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</si>
  <si>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</si>
  <si>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</si>
  <si>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</si>
  <si>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</si>
  <si>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</si>
  <si>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</si>
  <si>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</si>
  <si>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</si>
  <si>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</si>
  <si>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</si>
  <si>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</si>
  <si>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</si>
  <si>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</si>
  <si>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</si>
  <si>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</si>
  <si>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</si>
  <si>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</si>
  <si>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</si>
  <si>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</si>
  <si>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</si>
  <si>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</si>
  <si>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</si>
  <si>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</si>
  <si>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</si>
  <si>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</si>
  <si>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</si>
  <si>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</si>
  <si>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</si>
  <si>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[For completion]</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</si>
  <si>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</si>
  <si>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</si>
  <si>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</si>
  <si>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</si>
  <si>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</si>
  <si>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</si>
  <si>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</si>
  <si>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</si>
  <si>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</si>
  <si>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</si>
  <si>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</si>
  <si>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</si>
  <si>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</si>
  <si>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</si>
  <si>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</si>
  <si>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</si>
  <si>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</si>
  <si>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</si>
  <si>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</si>
  <si>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</si>
  <si>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</si>
  <si>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</si>
  <si>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</si>
  <si>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</si>
  <si>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</si>
  <si>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</si>
  <si>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</si>
  <si>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</si>
  <si>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</si>
  <si>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</si>
  <si>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</si>
  <si>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</si>
  <si>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</si>
  <si>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</si>
  <si>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</si>
  <si>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</si>
  <si>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</si>
  <si>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</si>
  <si>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</si>
  <si>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</si>
  <si>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</si>
  <si>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</si>
  <si>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</si>
  <si>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</si>
  <si>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</si>
  <si>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</si>
  <si>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</si>
  <si>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</si>
  <si>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</si>
  <si>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</si>
  <si>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</si>
  <si>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</si>
  <si>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</si>
  <si>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</si>
  <si>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</si>
  <si>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</si>
  <si>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</si>
  <si>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</si>
  <si>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</si>
  <si>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</si>
  <si>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</si>
  <si>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</si>
  <si>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</si>
  <si>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</si>
  <si>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</si>
  <si>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</si>
  <si>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</si>
  <si>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</si>
  <si>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</si>
  <si>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</si>
  <si>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</si>
  <si>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</si>
  <si>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</si>
  <si>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</si>
  <si>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</si>
  <si>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</si>
  <si>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</si>
  <si>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</si>
  <si>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</si>
  <si>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</si>
  <si>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</si>
  <si>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</si>
  <si>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</si>
  <si>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</si>
  <si>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</si>
  <si>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</si>
  <si>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</si>
  <si>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</si>
  <si>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</si>
  <si>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</si>
  <si>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</si>
  <si>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</si>
  <si>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</si>
  <si>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</si>
  <si>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</si>
  <si>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</si>
  <si>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</si>
  <si>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</si>
  <si>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</si>
  <si>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</si>
  <si>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</si>
  <si>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</si>
  <si>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</si>
  <si>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</si>
  <si>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</si>
  <si>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</si>
  <si>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</si>
  <si>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</si>
  <si>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</si>
  <si>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</si>
  <si>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</si>
  <si>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</si>
  <si>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</si>
  <si>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</si>
  <si>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</si>
  <si>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</si>
  <si>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</si>
  <si>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</si>
  <si>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</si>
  <si>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</si>
  <si>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</si>
  <si>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</si>
  <si>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</si>
  <si>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</si>
  <si>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</si>
  <si>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</si>
  <si>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</si>
  <si>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</si>
  <si>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</si>
  <si>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</si>
  <si>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</si>
  <si>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</si>
  <si>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</si>
  <si>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</si>
  <si>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</si>
  <si>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</si>
  <si>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</si>
  <si>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</si>
  <si>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</si>
  <si>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</si>
  <si>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</si>
  <si>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</si>
  <si>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</si>
  <si>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</si>
  <si>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</si>
  <si>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</si>
  <si>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</si>
  <si>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</si>
  <si>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</si>
  <si>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</si>
  <si>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</si>
  <si>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</si>
  <si>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</si>
  <si>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</si>
  <si>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</si>
  <si>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</si>
  <si>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</si>
  <si>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</si>
  <si>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</si>
  <si>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</si>
  <si>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</si>
  <si>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</si>
  <si>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</si>
  <si>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</si>
  <si>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</si>
  <si>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</si>
  <si>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</si>
  <si>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</si>
  <si>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Others</t>
  </si>
  <si>
    <t>Value</t>
  </si>
  <si>
    <t>Currencies</t>
  </si>
  <si>
    <t>Countries</t>
  </si>
  <si>
    <t>South Korea</t>
  </si>
  <si>
    <t>ACT</t>
  </si>
  <si>
    <t>Brussels Hoofdstedelijk Gewest</t>
  </si>
  <si>
    <t>Region Hovedstaden</t>
  </si>
  <si>
    <t>Auvergne-Rhône-Alpes</t>
  </si>
  <si>
    <t>Baden-Württemberg</t>
  </si>
  <si>
    <t>Attiki (including Athens)</t>
  </si>
  <si>
    <t>Budapest</t>
  </si>
  <si>
    <t>Carlow</t>
  </si>
  <si>
    <t>ABRUZZO</t>
  </si>
  <si>
    <t>Drenthe</t>
  </si>
  <si>
    <t>Viken</t>
  </si>
  <si>
    <t>Dolnoslaskie</t>
  </si>
  <si>
    <t>Lisbon city</t>
  </si>
  <si>
    <t>Uusimaa</t>
  </si>
  <si>
    <t>Andalucia</t>
  </si>
  <si>
    <t>Stor-Göteborg</t>
  </si>
  <si>
    <t>Lake Geneva Area</t>
  </si>
  <si>
    <t>North</t>
  </si>
  <si>
    <t>Capital Area</t>
  </si>
  <si>
    <t>Prague-East &amp; Prague-West</t>
  </si>
  <si>
    <t>Greater Auckland</t>
  </si>
  <si>
    <t>Busan</t>
  </si>
  <si>
    <t>Singapore landed</t>
  </si>
  <si>
    <t>Bratislavský kraj</t>
  </si>
  <si>
    <t>North-West</t>
  </si>
  <si>
    <t>Astrakhan Region</t>
  </si>
  <si>
    <t>TR 10 (Istanbul)</t>
  </si>
  <si>
    <t>Diekirch</t>
  </si>
  <si>
    <t>Tallinn</t>
  </si>
  <si>
    <t>Riga</t>
  </si>
  <si>
    <t>Vilnius</t>
  </si>
  <si>
    <t>NSW</t>
  </si>
  <si>
    <t>Vlaams Gewest</t>
  </si>
  <si>
    <t>Region Sjælland</t>
  </si>
  <si>
    <t>Bourgogne-Franche-Comté</t>
  </si>
  <si>
    <t>Bayern</t>
  </si>
  <si>
    <t>Central Greece (exl Attiki)</t>
  </si>
  <si>
    <t>Bács-Kiskun</t>
  </si>
  <si>
    <t>Cavan</t>
  </si>
  <si>
    <t>BASILICATA</t>
  </si>
  <si>
    <t>Friesland</t>
  </si>
  <si>
    <t>Agder</t>
  </si>
  <si>
    <t>Kujawsko-Pomorskie</t>
  </si>
  <si>
    <t>Lisbon region</t>
  </si>
  <si>
    <t>Itä-Uusimaa</t>
  </si>
  <si>
    <t>Aragon</t>
  </si>
  <si>
    <t>Stor-Malmö</t>
  </si>
  <si>
    <t>W. Switzerland</t>
  </si>
  <si>
    <t>Yorks / Humb</t>
  </si>
  <si>
    <t>Reykjanes/Suðurnes</t>
  </si>
  <si>
    <t>Středočeský kraj excl. Prague -East &amp; Prague-West</t>
  </si>
  <si>
    <t>Greater Wellington</t>
  </si>
  <si>
    <t>Chungcheongbuk-do</t>
  </si>
  <si>
    <t>Singapore non-landed</t>
  </si>
  <si>
    <t>Trnavský kraj</t>
  </si>
  <si>
    <t>Center</t>
  </si>
  <si>
    <t>Chelyabinsk Region</t>
  </si>
  <si>
    <t>TR 51 (Ankara)</t>
  </si>
  <si>
    <t>Grevenmacher</t>
  </si>
  <si>
    <t>Other Estonia</t>
  </si>
  <si>
    <t>Other Latvia</t>
  </si>
  <si>
    <t>Other Lithuania</t>
  </si>
  <si>
    <t>NT</t>
  </si>
  <si>
    <t>Waals Gewest</t>
  </si>
  <si>
    <t>Multi-regions</t>
  </si>
  <si>
    <t>Region Syddanmark</t>
  </si>
  <si>
    <t>Bretagne</t>
  </si>
  <si>
    <t>Berlin</t>
  </si>
  <si>
    <t>Peloponissos</t>
  </si>
  <si>
    <t>Baranya</t>
  </si>
  <si>
    <t>Clare</t>
  </si>
  <si>
    <t>CALABRIA</t>
  </si>
  <si>
    <t>Groningen</t>
  </si>
  <si>
    <t>Troms og Finnmark</t>
  </si>
  <si>
    <t>Lodzkie</t>
  </si>
  <si>
    <t>Coimbra area</t>
  </si>
  <si>
    <t>Varsinais-Suomi</t>
  </si>
  <si>
    <t>Asturias</t>
  </si>
  <si>
    <t>Stockholms län</t>
  </si>
  <si>
    <t>Berne</t>
  </si>
  <si>
    <t>North West</t>
  </si>
  <si>
    <t>Vesturland</t>
  </si>
  <si>
    <t>Jihočeský kraj</t>
  </si>
  <si>
    <t>Christchurch</t>
  </si>
  <si>
    <t>Chungcheongnam-do</t>
  </si>
  <si>
    <t>Nitriansky kraj</t>
  </si>
  <si>
    <t>North-East</t>
  </si>
  <si>
    <t>Republic of Tatarstan</t>
  </si>
  <si>
    <t>TR 31 (Izmir)</t>
  </si>
  <si>
    <t>BGN</t>
  </si>
  <si>
    <t>QLD</t>
  </si>
  <si>
    <t>Central</t>
  </si>
  <si>
    <t>Region Midtjylland</t>
  </si>
  <si>
    <t>Centre-Val de Loire</t>
  </si>
  <si>
    <t>Brandenburg</t>
  </si>
  <si>
    <t>Ionian Islands</t>
  </si>
  <si>
    <t>Békés</t>
  </si>
  <si>
    <t>Cork</t>
  </si>
  <si>
    <t>CAMPANIA</t>
  </si>
  <si>
    <t>Overijssel</t>
  </si>
  <si>
    <t>Innlandet</t>
  </si>
  <si>
    <t>Lubelskie</t>
  </si>
  <si>
    <t>Porto area</t>
  </si>
  <si>
    <t>Satakunta</t>
  </si>
  <si>
    <t>Baleares</t>
  </si>
  <si>
    <t>Östra mellansverige</t>
  </si>
  <si>
    <t>N.W. Switzerland</t>
  </si>
  <si>
    <t>E Mid</t>
  </si>
  <si>
    <t>Vestfirðir</t>
  </si>
  <si>
    <t>Plzeňský kraj</t>
  </si>
  <si>
    <t>Daegeon</t>
  </si>
  <si>
    <t>Trenčiansky kraj</t>
  </si>
  <si>
    <t>South-East</t>
  </si>
  <si>
    <t>Moscow (City)</t>
  </si>
  <si>
    <t>TR 21 (Edirne Kirklareli Tekirdag)</t>
  </si>
  <si>
    <t>SA</t>
  </si>
  <si>
    <t>Region Nordjylland</t>
  </si>
  <si>
    <t>Corse</t>
  </si>
  <si>
    <t>Bremen</t>
  </si>
  <si>
    <t>Ipiros</t>
  </si>
  <si>
    <t>Borsod-Abaúj-Zemplén</t>
  </si>
  <si>
    <t>Donegal</t>
  </si>
  <si>
    <t>EMILIA ROMAGNA</t>
  </si>
  <si>
    <t>Gelderland</t>
  </si>
  <si>
    <t>Vestland</t>
  </si>
  <si>
    <t>Lubuskie</t>
  </si>
  <si>
    <t>North inland regions</t>
  </si>
  <si>
    <t>Kanta-Häme</t>
  </si>
  <si>
    <t>Canarias</t>
  </si>
  <si>
    <t>Småland med öarna</t>
  </si>
  <si>
    <t>Central Switzerland</t>
  </si>
  <si>
    <t>W Mid</t>
  </si>
  <si>
    <t>Norðurland-V</t>
  </si>
  <si>
    <t>Karlovarský kraj</t>
  </si>
  <si>
    <t>Daegu</t>
  </si>
  <si>
    <t>Žilinský kraj</t>
  </si>
  <si>
    <t>Bucharest-Ilfov</t>
  </si>
  <si>
    <t>Moscow Region</t>
  </si>
  <si>
    <t>TR 22 (BalikesirCanakkale)</t>
  </si>
  <si>
    <t>TAS</t>
  </si>
  <si>
    <t>Greenland &amp; Faroe Islands</t>
  </si>
  <si>
    <t>Grand Est</t>
  </si>
  <si>
    <t>Hamburg</t>
  </si>
  <si>
    <t>Thessalia</t>
  </si>
  <si>
    <t>Csongrád</t>
  </si>
  <si>
    <t>Dublin</t>
  </si>
  <si>
    <t>FRIULI VENEZIA GIULIA</t>
  </si>
  <si>
    <t>Noord Brabant</t>
  </si>
  <si>
    <t>Møre og Romsdal</t>
  </si>
  <si>
    <t>Malopolskie</t>
  </si>
  <si>
    <t>Central inland regions</t>
  </si>
  <si>
    <t>Pirkanmaa</t>
  </si>
  <si>
    <t>Cantabria</t>
  </si>
  <si>
    <t>Sydsverige</t>
  </si>
  <si>
    <t>S. Switzerland</t>
  </si>
  <si>
    <t>E Anglia</t>
  </si>
  <si>
    <t>Norðurland-E</t>
  </si>
  <si>
    <t>Ústecký kraj</t>
  </si>
  <si>
    <t>Jeollabuk-do</t>
  </si>
  <si>
    <t>Banskobystrický kraj</t>
  </si>
  <si>
    <t>South Muntenia</t>
  </si>
  <si>
    <t>Nizhny Novgorod Region</t>
  </si>
  <si>
    <t>TR 32 (Aydin Denizli Mugla)</t>
  </si>
  <si>
    <t>VIC</t>
  </si>
  <si>
    <t>No data_Denmark</t>
  </si>
  <si>
    <t>Hauts-de-France</t>
  </si>
  <si>
    <t>Hessen</t>
  </si>
  <si>
    <t>Makedonia</t>
  </si>
  <si>
    <t>Fejér</t>
  </si>
  <si>
    <t>Galway</t>
  </si>
  <si>
    <t>LAZIO</t>
  </si>
  <si>
    <t>Limburg</t>
  </si>
  <si>
    <t>Nordland</t>
  </si>
  <si>
    <t>Mazowieckie</t>
  </si>
  <si>
    <t>Alentejo</t>
  </si>
  <si>
    <t>Päijät-Häme</t>
  </si>
  <si>
    <t>Castilla Leon</t>
  </si>
  <si>
    <t>Västsverige</t>
  </si>
  <si>
    <t>E. Switzerland</t>
  </si>
  <si>
    <t>South West</t>
  </si>
  <si>
    <t>Austurland</t>
  </si>
  <si>
    <t>Liberecký kraj</t>
  </si>
  <si>
    <t>Jeollanam-do</t>
  </si>
  <si>
    <t>Košický kraj</t>
  </si>
  <si>
    <t>South-West Oltenia</t>
  </si>
  <si>
    <t>Novosibirsk Region</t>
  </si>
  <si>
    <t>TR 33 (Afyonkarahisar Kutahya Manisa</t>
  </si>
  <si>
    <t>WA</t>
  </si>
  <si>
    <t>Île-de-France</t>
  </si>
  <si>
    <t>Mecklenburg-Vorpommern</t>
  </si>
  <si>
    <t>Thraki</t>
  </si>
  <si>
    <t>Győr-Moson-Sopron</t>
  </si>
  <si>
    <t>Kerry</t>
  </si>
  <si>
    <t>LIGURIA</t>
  </si>
  <si>
    <t>Flevoland</t>
  </si>
  <si>
    <t>Trøndelag</t>
  </si>
  <si>
    <t>Opolskie</t>
  </si>
  <si>
    <t>Algarve</t>
  </si>
  <si>
    <t>Kymenlaakso</t>
  </si>
  <si>
    <t>Catilla-La Mancha</t>
  </si>
  <si>
    <t>Norra mellansverige</t>
  </si>
  <si>
    <t>Zurich</t>
  </si>
  <si>
    <t>South East</t>
  </si>
  <si>
    <t>Suðurland</t>
  </si>
  <si>
    <t>Královéhradecký kraj</t>
  </si>
  <si>
    <t>Incheon</t>
  </si>
  <si>
    <t>Prešovský kraj</t>
  </si>
  <si>
    <t>West</t>
  </si>
  <si>
    <t>Omsk Region</t>
  </si>
  <si>
    <t>TR 41 (Bursa Eskisehir Bilecik)</t>
  </si>
  <si>
    <t>HRK</t>
  </si>
  <si>
    <t>Normandie</t>
  </si>
  <si>
    <t>Niedersachsen</t>
  </si>
  <si>
    <t>Aegean Islands</t>
  </si>
  <si>
    <t>Hajdú-Bihar</t>
  </si>
  <si>
    <t>Kildare</t>
  </si>
  <si>
    <t>LOMBARDIA</t>
  </si>
  <si>
    <t>Utrecht</t>
  </si>
  <si>
    <t>Oslo</t>
  </si>
  <si>
    <t>Podkarpackie</t>
  </si>
  <si>
    <t>Acores/Madeira</t>
  </si>
  <si>
    <t>South Karelia</t>
  </si>
  <si>
    <t>Cataluna</t>
  </si>
  <si>
    <t>Mellersta Norrland</t>
  </si>
  <si>
    <t>London</t>
  </si>
  <si>
    <t>Reykjavík</t>
  </si>
  <si>
    <t>Pardubický kraj</t>
  </si>
  <si>
    <t>Jeju-do</t>
  </si>
  <si>
    <t>Perm Territory</t>
  </si>
  <si>
    <t>TR 42 (Bolu Kocaeli Sakarya Yalova</t>
  </si>
  <si>
    <t>HUF</t>
  </si>
  <si>
    <t>Nouvelle-Aquitaine</t>
  </si>
  <si>
    <t>Nordrhein-Westfalen</t>
  </si>
  <si>
    <t>Crete</t>
  </si>
  <si>
    <t>Heves</t>
  </si>
  <si>
    <t>Kilkenny</t>
  </si>
  <si>
    <t>MARCHE</t>
  </si>
  <si>
    <t>Noord Holland</t>
  </si>
  <si>
    <t>Rogaland</t>
  </si>
  <si>
    <t>Podlaskie</t>
  </si>
  <si>
    <t>Etelä-Savo</t>
  </si>
  <si>
    <t>Madrid</t>
  </si>
  <si>
    <t>Övre Norrland</t>
  </si>
  <si>
    <t>Wales</t>
  </si>
  <si>
    <t>Kópavogur</t>
  </si>
  <si>
    <t>Kraj Vysočina</t>
  </si>
  <si>
    <t>Gangwon-do</t>
  </si>
  <si>
    <t>Rostov Region</t>
  </si>
  <si>
    <t>TR 52 (Konya Karaman)</t>
  </si>
  <si>
    <t>ISK</t>
  </si>
  <si>
    <t>Occitanie</t>
  </si>
  <si>
    <t>Rheinland-Pfalz</t>
  </si>
  <si>
    <t>Jász-Nagykun-Szolnok</t>
  </si>
  <si>
    <t>Laois</t>
  </si>
  <si>
    <t>MOLISE</t>
  </si>
  <si>
    <t>Zuid Holland</t>
  </si>
  <si>
    <t>Vestfold og Telemark</t>
  </si>
  <si>
    <t>Pomorskie</t>
  </si>
  <si>
    <t>Pohjois-Savo</t>
  </si>
  <si>
    <t>Murcia</t>
  </si>
  <si>
    <t>Scotland</t>
  </si>
  <si>
    <t>Seltjarnarnes</t>
  </si>
  <si>
    <t>Jihomoravský kraj</t>
  </si>
  <si>
    <t>Gwangju</t>
  </si>
  <si>
    <t>Samara Region</t>
  </si>
  <si>
    <t>TR 61 (Antalya Burdur Isparta)</t>
  </si>
  <si>
    <t>Outre mer</t>
  </si>
  <si>
    <t>Saarland</t>
  </si>
  <si>
    <t>Komárom-Esztergom</t>
  </si>
  <si>
    <t>Leitrim</t>
  </si>
  <si>
    <t>PIEMONTE</t>
  </si>
  <si>
    <t>Zeeland</t>
  </si>
  <si>
    <t>Slaskie</t>
  </si>
  <si>
    <t>North Karelia</t>
  </si>
  <si>
    <t>Valencia</t>
  </si>
  <si>
    <t>Northern Ireland</t>
  </si>
  <si>
    <t>Garðabær</t>
  </si>
  <si>
    <t>Olomoucký kraj</t>
  </si>
  <si>
    <t>Gyeongsangbuk-do</t>
  </si>
  <si>
    <t>St. Petersburg</t>
  </si>
  <si>
    <t>TR 62 (Adana Mersin)</t>
  </si>
  <si>
    <t>Pays de la Loire</t>
  </si>
  <si>
    <t>Sachsen</t>
  </si>
  <si>
    <t>Nógrád</t>
  </si>
  <si>
    <t>Limerick</t>
  </si>
  <si>
    <t>PUGLIA</t>
  </si>
  <si>
    <t>Swietokrzyskie</t>
  </si>
  <si>
    <t>Central Finland</t>
  </si>
  <si>
    <t>Extremadura</t>
  </si>
  <si>
    <t>Hafnarfjörður</t>
  </si>
  <si>
    <t>Zlínský kraj</t>
  </si>
  <si>
    <t>Gyeonggi-do</t>
  </si>
  <si>
    <t>Leningrad Region</t>
  </si>
  <si>
    <t>TR 63 (Hatay KahramanmarasOsmaniye)</t>
  </si>
  <si>
    <t>Provence-Alpes-Côte d'Azur</t>
  </si>
  <si>
    <t>Sachsen-Anhalt</t>
  </si>
  <si>
    <t>Pest</t>
  </si>
  <si>
    <t>Longford</t>
  </si>
  <si>
    <t>SARDEGNA</t>
  </si>
  <si>
    <t>Warminsko-Mazurskie</t>
  </si>
  <si>
    <t>South Ostrobothnia</t>
  </si>
  <si>
    <t>Galicia</t>
  </si>
  <si>
    <t>Álftanes</t>
  </si>
  <si>
    <t>Moravskoslezský kraj</t>
  </si>
  <si>
    <t>Gyeongsangnam-do</t>
  </si>
  <si>
    <t>Sverdlovsk Region</t>
  </si>
  <si>
    <t>TR 71 (Nevsehir Nigde Aksaray Kirik</t>
  </si>
  <si>
    <t>NZD</t>
  </si>
  <si>
    <t>No data_France</t>
  </si>
  <si>
    <t>Schleswig-Holstein</t>
  </si>
  <si>
    <t>Somogy</t>
  </si>
  <si>
    <t>Louth</t>
  </si>
  <si>
    <t>SICILIA</t>
  </si>
  <si>
    <t>Wielkopolskie</t>
  </si>
  <si>
    <t>Ostrobothnia</t>
  </si>
  <si>
    <t>La Rioja</t>
  </si>
  <si>
    <t>Mosfellsbær</t>
  </si>
  <si>
    <t>Ulsan</t>
  </si>
  <si>
    <t>Primorsky Territory</t>
  </si>
  <si>
    <t>TR 72 (Kayseri Sivas Yozgat)</t>
  </si>
  <si>
    <t>Thüringen</t>
  </si>
  <si>
    <t>Szabolcs-Szatmár-Bereg</t>
  </si>
  <si>
    <t>Meath</t>
  </si>
  <si>
    <t>TOSCANA</t>
  </si>
  <si>
    <t>Zachodniopomorskie</t>
  </si>
  <si>
    <t>Central Ostrobothnia</t>
  </si>
  <si>
    <t>Navarra</t>
  </si>
  <si>
    <t>UK</t>
  </si>
  <si>
    <t>Northern Seoul</t>
  </si>
  <si>
    <t>Kemerovo Region</t>
  </si>
  <si>
    <t>TR 81 (ZonguldakBartin Karabuk)</t>
  </si>
  <si>
    <t>RON</t>
  </si>
  <si>
    <t>Tolna</t>
  </si>
  <si>
    <t>Monaghan</t>
  </si>
  <si>
    <t>TRENTINO ALTO ADIGE</t>
  </si>
  <si>
    <t>North Ostrobothnia</t>
  </si>
  <si>
    <t>Pais Vasco</t>
  </si>
  <si>
    <t>Southern Seoul</t>
  </si>
  <si>
    <t>Krasnodar Territory</t>
  </si>
  <si>
    <t>TR 82 (Cankiri Kastamonu Sinop)</t>
  </si>
  <si>
    <t>RUB</t>
  </si>
  <si>
    <t>Vas</t>
  </si>
  <si>
    <t>Offaly</t>
  </si>
  <si>
    <t>UMBRIA</t>
  </si>
  <si>
    <t>Kainuu</t>
  </si>
  <si>
    <t>Republic of Bashkortostan</t>
  </si>
  <si>
    <t>TR 83 (Samsun Corum Amasya Tokat)</t>
  </si>
  <si>
    <t>Veszprém</t>
  </si>
  <si>
    <t>Roscommon</t>
  </si>
  <si>
    <t>UNKNOWN</t>
  </si>
  <si>
    <t>Lapland</t>
  </si>
  <si>
    <t>Tyumen Region</t>
  </si>
  <si>
    <t>TR 90 (Artvin Giresun Gumushane Ord</t>
  </si>
  <si>
    <t>Zala</t>
  </si>
  <si>
    <t>Sligo</t>
  </si>
  <si>
    <t>VALLE D'AOSTA</t>
  </si>
  <si>
    <t>Krasnoyarsk Territory</t>
  </si>
  <si>
    <t>TR A1 A2</t>
  </si>
  <si>
    <t>TRY</t>
  </si>
  <si>
    <t>Tipperary</t>
  </si>
  <si>
    <t>VENETO</t>
  </si>
  <si>
    <t>Stavropol Territory</t>
  </si>
  <si>
    <t>TR B1 B2</t>
  </si>
  <si>
    <t>ZAR</t>
  </si>
  <si>
    <t>Waterford</t>
  </si>
  <si>
    <t>TR C1  C2 C3</t>
  </si>
  <si>
    <t>Westmeath</t>
  </si>
  <si>
    <t>Wexford</t>
  </si>
  <si>
    <t>Wicklow</t>
  </si>
  <si>
    <t>Russia</t>
  </si>
  <si>
    <t>Turkey</t>
  </si>
  <si>
    <t>Residential mortgages</t>
  </si>
  <si>
    <t>Commercial mortgages</t>
  </si>
  <si>
    <t>None</t>
  </si>
  <si>
    <t>Libor - 1m</t>
  </si>
  <si>
    <t>Libor - 3m</t>
  </si>
  <si>
    <t>Libor - 6m</t>
  </si>
  <si>
    <t>Libor - 12m</t>
  </si>
  <si>
    <t>Euribor - 1m</t>
  </si>
  <si>
    <t>Euribor - 3m</t>
  </si>
  <si>
    <t>Euribor - 6m</t>
  </si>
  <si>
    <t>Euribor - 12m</t>
  </si>
  <si>
    <t>Green bond</t>
  </si>
  <si>
    <t>Social bond</t>
  </si>
  <si>
    <t>Spanish</t>
  </si>
  <si>
    <t>Sustainable bond</t>
  </si>
  <si>
    <t>Other label bond</t>
  </si>
  <si>
    <t>Aaa</t>
  </si>
  <si>
    <t>Aa1</t>
  </si>
  <si>
    <t>Aa2</t>
  </si>
  <si>
    <t>Aa3</t>
  </si>
  <si>
    <t>A1</t>
  </si>
  <si>
    <t>A2</t>
  </si>
  <si>
    <t>A3</t>
  </si>
  <si>
    <t>Baa1</t>
  </si>
  <si>
    <t>Baa2</t>
  </si>
  <si>
    <t>Baa3</t>
  </si>
  <si>
    <t>Ba1</t>
  </si>
  <si>
    <t>Ba2</t>
  </si>
  <si>
    <t>Ba3</t>
  </si>
  <si>
    <t>B1</t>
  </si>
  <si>
    <t>B2</t>
  </si>
  <si>
    <t>B3</t>
  </si>
  <si>
    <t>Caa1</t>
  </si>
  <si>
    <t>Caa2</t>
  </si>
  <si>
    <t>Caa3</t>
  </si>
  <si>
    <t>for residential</t>
  </si>
  <si>
    <t>Total_Cyprus</t>
  </si>
  <si>
    <t>Non-Dublin</t>
  </si>
  <si>
    <t>No data_Cyprus</t>
  </si>
  <si>
    <t>No data_Ireland</t>
  </si>
  <si>
    <t>No data_Estonia</t>
  </si>
  <si>
    <t>No data_Latvia</t>
  </si>
  <si>
    <t>No data_Lithuania</t>
  </si>
  <si>
    <t>No data_Slovakia</t>
  </si>
  <si>
    <t>No data_Romania</t>
  </si>
  <si>
    <t>No data_Russia</t>
  </si>
  <si>
    <t>No data_Turkey</t>
  </si>
  <si>
    <t>Unknown</t>
  </si>
  <si>
    <t>countries EEA (commercial, PS)</t>
  </si>
  <si>
    <t>Available languages</t>
  </si>
  <si>
    <t>English</t>
  </si>
  <si>
    <t>German</t>
  </si>
  <si>
    <r>
      <t>Confidentiality:</t>
    </r>
    <r>
      <rPr>
        <i/>
        <sz val="10"/>
        <rFont val="Times New Roman"/>
        <family val="1"/>
      </rPr>
      <t xml:space="preserve">
This data template file and all its contents, as well as any information contained therein (together the "Moody's Data Template File and Information"), is confidential to Moody's Investors Service ("Moody's"). No part of Moody's Data Template File and Information may be copied or otherwise reproduced, repackaged, further transmitted, transferred, disseminated, redistributed, or stored for any subsequent use for any such or other purpose, in whole or part, in any form or manner or by any means whatever, by any person without the express written consent of Moody's first being obtained.
If you have received Moody's Data Template File and Information in error, please immediately notify Moody's by telephone, fax or e-mail and delete it.</t>
    </r>
  </si>
  <si>
    <r>
      <t xml:space="preserve">Vertraulichkeit
</t>
    </r>
    <r>
      <rPr>
        <i/>
        <sz val="10"/>
        <rFont val="Times New Roman"/>
        <family val="1"/>
      </rPr>
      <t>Diese Datenvorlage, ihr Inhalt und alle in ihr enthaltenen Informationen (zusammen: „Moody’s-Datenvorlage und Informationen“) sind vertrauliches Eigentum von Moody’s Investors Service („Moody’s“). Die Moody’s-Datenvorlage und die Informationen dürfen ohne ausdrückliche, vorherige und schriftliche Zustimmung von Moody’s weder ganz noch in Teilen kopiert oder in sonstiger Weise reproduziert, umgewandelt, weitergegeben, übertragen, bekannt gegeben, verteilt oder zur weiteren Verwendung gespeichert werden, gleichgültig, zu welchem Zweck, in welcher Art und Weise oder mit welchen Hilfsmitteln.
Wenn Sie die Moody’s-Datenvorlage und die Informationen irrtümlich erhalten haben, setzen Sie Moody’s unverzüglich telefonisch, per Fax oder per E-Mail davon in Kenntnis und löschen Sie die Datei.</t>
    </r>
  </si>
  <si>
    <r>
      <t>Confidencialidad:</t>
    </r>
    <r>
      <rPr>
        <b/>
        <i/>
        <sz val="12"/>
        <rFont val="Times New Roman"/>
        <family val="1"/>
      </rPr>
      <t xml:space="preserve"> 
</t>
    </r>
    <r>
      <rPr>
        <i/>
        <sz val="12"/>
        <rFont val="Times New Roman"/>
        <family val="1"/>
      </rPr>
      <t>Este soporte electrónico y sus contenidos, así como la información incluida en él ("Fichero e Información de Moody's") es propiedad e información confidencial de Moody's Investors Service ("Moody's"). No esta permitida la copia, reproducción, o almacenaje en cualquier soporte, así como la transmisión o distribución  parcial o total de el "Fichero e Información de Moody's" indistintamente de su propósito sin el previo consentimiento escrito de Moody's. Si Vd. ha recibido el "Fichero e Información de Moody's" por error, por favor notifíquelo inmediatamente a Moody's por teléfono, fax o e-mail y proceda a su destrucción.</t>
    </r>
  </si>
  <si>
    <t>Name of Issuer:</t>
  </si>
  <si>
    <t>Name des Emittenten:</t>
  </si>
  <si>
    <t>Nombre del Emisor:</t>
  </si>
  <si>
    <t>REPORT DATE:</t>
  </si>
  <si>
    <t>BERICHTSDATUM:</t>
  </si>
  <si>
    <t>FECHA DEL INFORME:</t>
  </si>
  <si>
    <t xml:space="preserve">FREQUENCY OF REPORTING </t>
  </si>
  <si>
    <t>BERICHTSTURNUS:</t>
  </si>
  <si>
    <t>FRECUENCIA DEL INFORME</t>
  </si>
  <si>
    <t>If Other, please specify agreed frequency of reporting here</t>
  </si>
  <si>
    <t>Falls "Sonstiges", bitte geben Sie die vereinbarte Häufigkeit der Berichterstattung an.</t>
  </si>
  <si>
    <t>Si Otro, por favor especificar la frecuencia con la que se reporta la información.</t>
  </si>
  <si>
    <t>Version of the Template</t>
  </si>
  <si>
    <t>Version der Vorlage:</t>
  </si>
  <si>
    <t xml:space="preserve">Versión del Fichero </t>
  </si>
  <si>
    <t>Introduction:</t>
  </si>
  <si>
    <t>Einleitung:</t>
  </si>
  <si>
    <t>Introducción</t>
  </si>
  <si>
    <t>-This data template should not be regarded as a requirement-list. The template is a set of guidelines to assist with the data input for your Covered Bond issuance and/or programme.</t>
  </si>
  <si>
    <t>-Diese Vorlage ist nicht als vollständige Auflistung aller erforderlichen Daten zu verstehen. Sie dient lediglich als Richtlinie, die Sie bei der Eingabe der Daten für die Begebung Ihrer Pfandbriefe bzw. Ihres Programms für Gedeckte Schuldverschreibungen unterstützen soll.</t>
  </si>
  <si>
    <t>- No se debe considerar este fichero como una lista obligatoria de todos los datos requeridos. Este fichero sirve como guía maestra para asistir en el análisis de su emisión o programa de Cédulas.</t>
  </si>
  <si>
    <t>- This template will not be regarded as stand-alone and Moody’s expects to conduct an operational review to further understand the data and the Assets in the cover pool.</t>
  </si>
  <si>
    <t>- Diese Vorlage allein ist nicht ausreichend; Moody's führt weitere Analysen und ein sog. "Operational Review" durch, um ein weitreichendes Verständnis des Pfandbriefprogramms zu gewährleisten.</t>
  </si>
  <si>
    <t>- La introducción de los datos en el fichero no se debe considerar como el único requisito de de información de Moody's. Moody's espera llevar a cabo una revisión operacional del emisor que profundice en la comprensión de la información y activos de la cartera subyacente</t>
  </si>
  <si>
    <t xml:space="preserve"> </t>
  </si>
  <si>
    <t>-For residential and commercial assets, the data for assets located in different countries should be entered onto different worksheets. Further, if loans in more than one currency are made on assets located in a single country, information should be entered separately onto different pages (for that purpose, please create copies of the relevant worksheet). However, where information is provided on a loan by loan (or property by property) basis all data should be entered onto a single worksheet (regardless of whether the assets are located in more than one country). If commercial or residential assets are located in more than 5 countries contact Moody's. See also MULTI-COUNTRY ASSETS.</t>
  </si>
  <si>
    <t>- Informationen für WOHNIMMOBILIEN-KREDITE oder GEWERBLICHE IMMOBILIENKREDITE, die in verschiedenen Ländern generiert wurden, bitte in separaten Tabellenblättern eingeben. (Falls Daten nicht auf Einzelkreditbasis angegeben werden). 
Wenn Kredite in verschiedenen Währungen für eine Immobilie in einem Land gewährt wurden, sollte für jedes Land ein separates Tabellenblatt genutzt werden (falls die Information nicht auf Einzelkreditbasis bereitgestellt wird). 
Im Falle von mehr als 5 Ländern kontaktieren Sie Moody's. 
Informationen auf Einzelkreditbasis werden benötigt, wenn GEWERBLICHE IMMOBILIENKREDITE mehr als 35% der DECKUNGSMASSE stellen. Vgl. auch VERMÖGENSWERTE IN MEHREREN LÄNDERN.</t>
  </si>
  <si>
    <t xml:space="preserve"> - Los activos hipotecarios residenciales y comerciales deben ser completados en hojas de Excel distintas dependiendo del país en que se encuentren. Si la información se proporciona préstamo a préstamo (o inmueble a inmueble) toda la información de la cartera se debe dar en la misma hoja de excel. Les rogamos que se pongan en contacto con Moody's si las carteras bien comercial, bien residencial se encuentran en más de 5 países. Ver ACTIVOS MULTIJURISDICCIONALES.
Para proporcionar datos sobre la cartera elegible, por favor crear también una hoja distinta.</t>
  </si>
  <si>
    <t>Step-by-step instructions for completion of data template:</t>
  </si>
  <si>
    <t>Anleitung für das Ausfüllen der Vorlage:</t>
  </si>
  <si>
    <t>Instrucciones para completar el fichero:</t>
  </si>
  <si>
    <t>- All data should be as at the REPORT DATE unless otherwise specified.</t>
  </si>
  <si>
    <t>- Alle Daten sollten dem Stand zum BERICHTSDATUM entsprechen, soweit nicht etwas anderes vorgesehen ist.</t>
  </si>
  <si>
    <t xml:space="preserve"> - Todos los datos se deben referir a la misma FECHA DEL INFORME salvo que se especifique lo contrario.</t>
  </si>
  <si>
    <t>- All data should be converted into the currency of the Issuer (or other currency as agreed with Moody's) unless otherwise specified. See CURRENCY CONVERSION in Definitions page for more information.</t>
  </si>
  <si>
    <t>- Alle Daten bitte in die Währung des Emittenten (oder einer anderen, mit Moody's vereinbarten Währung) umrechnen, soweit nicht anders angegeben. Vgl. WÄHRUNGSUMRECHUNG.</t>
  </si>
  <si>
    <t xml:space="preserve"> -Todos los datos se deben convertir a la divisa del emisor (o en otra divisa acordada con Moody's) salvo se especifique lo contrario. er CONVERSIÓN DE DIVISAS en la hoja de "Definitions" para mayor información.</t>
  </si>
  <si>
    <t>- Complete all yellow highlighted fields at the top of Front page.</t>
  </si>
  <si>
    <t>- Bitte alle hellgelb unterlegten Felder im Tabellenblatt "Front Page" ausfüllen.</t>
  </si>
  <si>
    <t>- Completar las celdas en amarillo en la parte superior de la hoja "Front Page".</t>
  </si>
  <si>
    <t>- Press “Initiate Input of Data” button.</t>
  </si>
  <si>
    <t>- Klicken Sie auf "Initiate Input of Data".</t>
  </si>
  <si>
    <t>- Presionar el botón "Initiate Input of Data"</t>
  </si>
  <si>
    <t>- Mark all relevant fields in the “Initiate Input” form.</t>
  </si>
  <si>
    <t>- Kreuzen Sie die für Ihr Programm zutreffenden Felder im Formular "Initiate Input" an.</t>
  </si>
  <si>
    <t>- Marcar todos los campos relevantes en el menú "Initiate Input".</t>
  </si>
  <si>
    <t>- For public sector assets mark this field if these assets are present.</t>
  </si>
  <si>
    <t xml:space="preserve">- Sind Kredite an den Öffentlichen Sektor in der DECKUNGSMASSE, kreuzen Sie bitte das Kontrollkästchen „Public-Sector“ an.  </t>
  </si>
  <si>
    <t>- Para la cartera pública marcar este campo en caso de que este activo esté presente (en el caso español, para Cédulas Territoriales).</t>
  </si>
  <si>
    <t>- After identification of and marking the fields relevant to your issuance and/or programme, press “Initiate” button on the “Initiate Input” form.</t>
  </si>
  <si>
    <t>- Wenn Sie im "Initiate Input"-Formular alle Felder angekreuzt haben, die für Ihre Emission bzw. Ihr Programm von Bedeutung sind, klicken Sie im Formular auf "Start".</t>
  </si>
  <si>
    <t xml:space="preserve"> - Tras identificar y seleccionar los campos relevantes para su emisión y/o programa, presionar el botón "Initiate" en el menú "Initiate Input"</t>
  </si>
  <si>
    <t>- You should now have an Excel file with several pages, each page relating to those fields which have been identified and marked in the “Initiate Input” form.</t>
  </si>
  <si>
    <t>- Ihnen liegt jetzt eine Excel-Datei mit mehreren Tabellenblättern vor, die jeweils den Bereichen entsprechen, die Sie im „Initiate-Input“-Formular angekreuzt haben.</t>
  </si>
  <si>
    <t xml:space="preserve"> - Ahora aparecerán en el Fichero de Excel diversas páginas, cada una relacionada con aquellos campos que marcó en el menú "Initiate Input".</t>
  </si>
  <si>
    <t>- You may navigate through any of the several pages. On each page you will find instructions for completing that part of the template, and on certain pages (residential, commercial, public sector and substitute collateral) also an “Overview Data” table for the ASSET TYPE. On each of the residential and commercial pages there is additionally a “Detail Data Menu” button, which may help you navigate through the data tables on each page.</t>
  </si>
  <si>
    <t xml:space="preserve">- Auf den Tabellenblättern für Wohnimmobilien und gewerblich genutzte Immobilien befindet sich die Schaltfläche "Detail Data Menu", die Ihnen helfen wird, das jeweilige Tabellenblatt Ihren Anforderungen entsprechend einzurichten. </t>
  </si>
  <si>
    <t>- Puede moverse libremente entre las hojas generadas. En cada hoja encontrará las instrucciones necesarias para completar la información solicitada, y en ciertas hojas (residential, commercial, public sector y substitute collateral) también una tabla a rellenar con "Resumen de Información". En las hojas de la cartera hipotecaria residencial y comercial encontrará un botón adicional "Detail Data Menu", que le ayudará a moverse dentro de la hoja en que se encuentre.</t>
  </si>
  <si>
    <t>- When input is taking place using the “Mass Data Input” option on the Front Page, all data tables from all pages will be displayed, and "Detail Data Menu" should be ignored.</t>
  </si>
  <si>
    <t>- Durch einen Klick auf die Schaltfläche „Mass Data Input“ auf der Titelseite werden sämtliche Eingabe-Tabellen auf allen Tabellenblättern angezeigt.</t>
  </si>
  <si>
    <t>- Si la introducción de datos se realiza utilizando la opción de "Mass Data Input", todos las tablas de todas las hojas se mostrarán, pudiéndose ignorar la opción "Detail Data Menu".</t>
  </si>
  <si>
    <t>Further steps:</t>
  </si>
  <si>
    <t>Weitere Hinweise:</t>
  </si>
  <si>
    <t>Otros pasos a seguir:</t>
  </si>
  <si>
    <t>- For further detailed instructions as well as definitions for various parts of the Excel file, see the Definitions page which next follows this page.</t>
  </si>
  <si>
    <t>- Si requiere de instrucciones más detalladas, así como las definiciones de diversos términos en las distintas partes del fichero Excel, vea la hoja "Definitions" que sigue a esta hoja.</t>
  </si>
  <si>
    <t>- Most defined expressions in the Excel file are in capitals. The Definitions for these (and other common terms which are not in capitals but also defined) are found on the Definitions page.</t>
  </si>
  <si>
    <t>- Begriffe in GROSSBUCHSTABEN sind im Tabellenblatt "Definitions" näher erläutert.</t>
  </si>
  <si>
    <t>- La mayoría de los términos en el fichero Excel se encuentran en mayúsculas. Sus definiciones (así como otros términos que no se encuentran en mayúsculas pero que se definen) se encuentran en la hoja "Definitions".</t>
  </si>
  <si>
    <t>- For residential assets mark the relevant field based on both type of asset and number of countries in which the assets are located. For example, if residential assets are located in 2 different countries,  mark the box next to Residential Mortgages located in 2 countries. Two residential worksheets will then be generated.</t>
  </si>
  <si>
    <t>- Para activos hipotecarios residenciales marcar el campo adecuado dependiendo del tipo de activo y del número de países donde se encuentra el activo. Por ejemplo, si los activos residenciales han sido originados en dos países distintos, seleccionar la opción "Cartera residencial en dos países". Posteriormente, se generarán dos hojas de excel para datos residenciales.</t>
  </si>
  <si>
    <t>- For commercial assets mark the relevant field. This is as per residential assets where commercial assets make up less than 35% of the value of the Cover Pool. However, mark the field next to Commercial LbyL where more than 35% of the value of the Cover Pool is made up of commercial assets.</t>
  </si>
  <si>
    <t>- Für GEWERBLICHE IMMOBILIENKREDITE das entsprechende Feld auswählen. Falls GEWERBLICHE IMMOBILIENKREDITE mehr als 35% der DECKUNGSMASSE ausmachen, bitte Daten auf Einzelkreditbasis bereitstellen.</t>
  </si>
  <si>
    <t>-  Para activos hipotecarios comerciales marcar el campo adecuado. el procedimiento es análogo al efectuado con activos residenciales, siempre y cuando el porcentaje de activos comerciales no supere el 35% del total de la cartera hipotecaria. En caso contrario marcar el campo correspondiente a "Comercial préstamo a préstamo".</t>
  </si>
  <si>
    <t>- This Input Template does not cover all possibilities. Where there is doubt that the template allows a particular risk to be accurately captured, discuss with Moody's.</t>
  </si>
  <si>
    <t xml:space="preserve">- Diese Vorlage kann nicht alle Möglichkeiten abdecken. Bitte kontaktieren Sie Moody's, wenn Zweifel bestehen, dass bestimmte Risiken in dieser Vorlage nicht korrekt erfasst werden. </t>
  </si>
  <si>
    <t>- Este Fichero no pretende cubrir todas las posibilidades. En caso de que se dude sobre la adecuación del presente fichero a la hora de reflejar un riesgo paryicular, se ruega que se pongan en contacto con Moody's.</t>
  </si>
  <si>
    <t>- Please conform with all formatting instructions (and embedded in-cell formatting, e.g in % or in bps).</t>
  </si>
  <si>
    <t>- Bitte beachten Sie das gewünschte Datenformat (z.B. in % oder in Monaten) und behalten Sie die voreingestellte Formatierung der Zellen bei.</t>
  </si>
  <si>
    <t>- Por favor utilice los formatos como es  especificado en las instrucciones ó en las celdas (por ejemplo si la información se pide en % o en bps).</t>
  </si>
  <si>
    <t>Definition Page</t>
  </si>
  <si>
    <t>Página de Definición</t>
  </si>
  <si>
    <t>INTEREST RATE TYPE</t>
  </si>
  <si>
    <t>ZINSTYP</t>
  </si>
  <si>
    <t>CLASE DE TIPO DE INTERÉS</t>
  </si>
  <si>
    <t>Interest rate where fixed rate</t>
  </si>
  <si>
    <t>Fester Zinssatz</t>
  </si>
  <si>
    <t>Tipo de interés si es a tipo fijo</t>
  </si>
  <si>
    <t>Interest margin where floating rate</t>
  </si>
  <si>
    <t>Zinsmarge bei variabler Verzinsung</t>
  </si>
  <si>
    <t>Margen si es a tipo variable</t>
  </si>
  <si>
    <t>BASIS over which interest margin is calculated</t>
  </si>
  <si>
    <t>BASISZINS für die Berechnung der Zinsmarge</t>
  </si>
  <si>
    <t>ÍNDICE BASE de referencia sobre el que se calcula el Margen</t>
  </si>
  <si>
    <t>Covered Bond Programme Overview</t>
  </si>
  <si>
    <t>Programmüberblick</t>
  </si>
  <si>
    <t>RESUMEN DEL PROGRAMA DE CÉDULAS</t>
  </si>
  <si>
    <t>Total - outstanding Covered Bonds:</t>
  </si>
  <si>
    <t>Gesamtbetrag Ausstehender Gedeckter Schuldverschreibungen:</t>
  </si>
  <si>
    <t>Saldo Vivo de Cédulas:</t>
  </si>
  <si>
    <t>I. Total - Nominal LOAN BALANCE of COVER POOL:</t>
  </si>
  <si>
    <t>I. Gesamtbetrag - Nominaler KREDITSALDO der DECKUNGSMASSE:</t>
  </si>
  <si>
    <t>I. Total - SALDO VIVO DE PRÉSTAMOS de la CARTERA SUBYACENTE:</t>
  </si>
  <si>
    <t>I.1.Total - residential LOAN BALANCE:</t>
  </si>
  <si>
    <t>I.1.Gesamtbetrag - KREDITSALDO für Wohnimmobilien:</t>
  </si>
  <si>
    <t>I.1.Total - SALDO VIVO DE PRÉSTAMOS residenciales:</t>
  </si>
  <si>
    <t>I.2.Total - commercial LOAN BALANCE:</t>
  </si>
  <si>
    <t>I.2.Gesamtbetrag - KREDITSALDO für gewerblich genutzte Immobilien:</t>
  </si>
  <si>
    <t>I.2.Total - SALDO VIVO DE PRÉSTAMOS comerciales:</t>
  </si>
  <si>
    <t>I.3.Total - public sector LOAN BALANCE:</t>
  </si>
  <si>
    <t>I.3.Gesamtbetrag - KREDITSALDO für den öffentlichen Sektor:</t>
  </si>
  <si>
    <t>I.3.Total - SALDO VIVO DE PRÉSTAMOS al sector público:</t>
  </si>
  <si>
    <t>I.4. Total - Nominal substitute collateral:</t>
  </si>
  <si>
    <t>I.4. Gesamtbetrag - Nominalwert der Ersatzsicherheiten:</t>
  </si>
  <si>
    <t>I.4. Total - SALDO VIVO de la cartera elegible :</t>
  </si>
  <si>
    <t>Scheduled balance of Covered Bond issues in next quarter (using DEFAULT CURRENCY - see also CURRENCY CONVERSION):</t>
  </si>
  <si>
    <t>Vorgesehener Betrag von Emissionen Gedeckter Schuldverschreibungen im nächsten Quartal (STANDARDWÄHRUNG - vgl. auch WÄHRUNGSUMRECHUNG):</t>
  </si>
  <si>
    <t>Volumen previsto de emisión de Cédulas en el próximo trimestre (usando la DIVISA ESTÁNDAR - ver CONVERSIÓN DE DIVISAS):</t>
  </si>
  <si>
    <t>Bond by Bond Information</t>
  </si>
  <si>
    <t>Daten zu den einzelnen Schuldverschreibungen</t>
  </si>
  <si>
    <t>Información por emisión de Cédulas</t>
  </si>
  <si>
    <t>ISIN</t>
  </si>
  <si>
    <t>--</t>
  </si>
  <si>
    <t>Currency</t>
  </si>
  <si>
    <t>Währung</t>
  </si>
  <si>
    <t>Divisa</t>
  </si>
  <si>
    <t>Current balance in currency of issued Covered Bond</t>
  </si>
  <si>
    <t>Laufender Saldo in der Währung der emittierten Gedeckten Schuldverschreibung</t>
  </si>
  <si>
    <t>Saldo Vivo en la divisa en que se emitió la Cédulas</t>
  </si>
  <si>
    <t>Current balance (in DEFAULT CURRENCY)</t>
  </si>
  <si>
    <t>Laufender Saldo (in STANDARDWÄHRUNG)</t>
  </si>
  <si>
    <t>Saldo Vivo (en DIVISA ESTÁNDAR)</t>
  </si>
  <si>
    <t>Expected maturity date (dd/mm/yyyy)</t>
  </si>
  <si>
    <t>Erwartetes Fälligkeitsdatum (TT/MM/JJJJ)</t>
  </si>
  <si>
    <t>Fecha de vencimiento esperado (dd/mm/aaaa)</t>
  </si>
  <si>
    <t>Legal final (or "extended" maturity date, dd/mm/yyyy )</t>
  </si>
  <si>
    <t>Rechtliche Endfälligkeit (oder verlängerte Fälligkeit, TT/MM/JJJJ))</t>
  </si>
  <si>
    <t>Fecha de vencimiento legal (o vencimiento "extendido", dd/mm/aaaa )</t>
  </si>
  <si>
    <t>Next Interest Payment Date (dd/mm/yyyy)</t>
  </si>
  <si>
    <t>Nächste Zins- oder Kuponzahlung auf Covered Bonds (TT/MM/JJJJ)</t>
  </si>
  <si>
    <t>Fecha del próximo pago de intereses (dd/mm/aaaa)</t>
  </si>
  <si>
    <t>NIPD as first IPD following the REPORT DATE.</t>
  </si>
  <si>
    <t>Datum der nächsten Zinszahlung ist das Datum der ersten Zinszahlung nach dem BERICHTSDATUM.</t>
  </si>
  <si>
    <t>Próxima fecha tras la FECHA DEL INFORME</t>
  </si>
  <si>
    <t>Next Principal Payment Date (dd/mm/yyyy)</t>
  </si>
  <si>
    <t xml:space="preserve"> Nächste Tilgungszahlung auf Covered Bonds (TT/MM/JJJJ)</t>
  </si>
  <si>
    <t>Fecha del Próximo Pago de Principal (dd/mm/aaaa)</t>
  </si>
  <si>
    <t>NPPD as first PPD following the REPORT DATE.</t>
  </si>
  <si>
    <t>Datum der nächsten Tilgungszahlung ist das Datum der ersten Tilgungszahlung nach dem BERICHTSDATUM.</t>
  </si>
  <si>
    <t>Interest payment frequency</t>
  </si>
  <si>
    <t>Häufigkeit der Zinszahlungen</t>
  </si>
  <si>
    <t>Frecuencia de pago de intereses</t>
  </si>
  <si>
    <t>Principal payment frequency</t>
  </si>
  <si>
    <t>Häufigkeit der Tilgungszahlungen</t>
  </si>
  <si>
    <t>Frecuencia de pago de principal</t>
  </si>
  <si>
    <t>Principal redemption type</t>
  </si>
  <si>
    <t>Art der Tilgung</t>
  </si>
  <si>
    <t>Tipo de amortización de principal</t>
  </si>
  <si>
    <t>Over-Collateralisation (OC)</t>
  </si>
  <si>
    <t>Überbesicherung</t>
  </si>
  <si>
    <t>Sobre-Colateralización (OC)</t>
  </si>
  <si>
    <t>In terms of BASIC OC</t>
  </si>
  <si>
    <t>GRUNDLEGENDE ÜBERBESICHERUNG</t>
  </si>
  <si>
    <t>En términos de OC BÁSICA</t>
  </si>
  <si>
    <t>Form of BASIC OC 1: NOMINAL OC or NPV OC</t>
  </si>
  <si>
    <t>Form der GRUNDLEGENDEN ÜBERBESICHERUNG 1: NOMINALE ÜBERBESICHERUNG oder barwertige ÜBERBESICHERUNG</t>
  </si>
  <si>
    <t>Forma de OC BÁSICA 1: OC NOMINAL u OC NPV</t>
  </si>
  <si>
    <t>Form of BASIC OC 2: Eligible Only OC or Ineligible Included OC</t>
  </si>
  <si>
    <t>Form der GRUNDLEGENDEN ÜBERBESICHERUNG 2: Nur zugelasenes oder nicht zugelasenes enthaltenes OC</t>
  </si>
  <si>
    <t>Forma de OC BÁSICA 2: OC ELEGIBLE o Incluyendo OC Elegible</t>
  </si>
  <si>
    <t>In terms of ADDITIONAL OC for specific legal risks</t>
  </si>
  <si>
    <t>-</t>
  </si>
  <si>
    <t>En términos de OC ADICIONAL para riesgos legales específicos</t>
  </si>
  <si>
    <t>In terms of ADDITIONAL OC for reinvestment risk</t>
  </si>
  <si>
    <t>En términos de OC ADICIONAL para riesgos de reinversión</t>
  </si>
  <si>
    <t xml:space="preserve">Form of ADDITIONAL OC </t>
  </si>
  <si>
    <t>Forma de OC ADICIONAL</t>
  </si>
  <si>
    <t>Total OC</t>
  </si>
  <si>
    <t>Gesamte ÜBERBESICHERUNG</t>
  </si>
  <si>
    <t>OC Total</t>
  </si>
  <si>
    <t>OC required by Covered Bond framework</t>
  </si>
  <si>
    <t>gesetzlich vorgeschriebene ÜBERBESICHERUNG</t>
  </si>
  <si>
    <t>OC requerido por la legislación aplicable a las Cédulas</t>
  </si>
  <si>
    <t>OC required by terms and conditions of the bonds</t>
  </si>
  <si>
    <t>vertragliche ÜBERBESICHERUNG</t>
  </si>
  <si>
    <t>OC requerido por los términos y condiciones de las Cédulas</t>
  </si>
  <si>
    <t>TARGET OC AGREED WITH MOODY'S</t>
  </si>
  <si>
    <t>MIT MOODY'S VEREINBARTE, ANGESTREBTE ÜBERBESICHERUNG</t>
  </si>
  <si>
    <t>OC MÍNIMO ACORDADO CON MOODY'S</t>
  </si>
  <si>
    <t>ADDITIONAL OC for reinvestment risk</t>
  </si>
  <si>
    <t>NOMINAL OC currently in COVER POOL based on ELIGIBLE ONLY</t>
  </si>
  <si>
    <t>NOMINALE ÜBERBESICHERUNG in der DECKUNGSMASSE auf der Grundlage der DECKUNGSSTOCKFÄHIGEN ÜBERBESICHERUNG</t>
  </si>
  <si>
    <t>OC NOMINAL actual en la CARTERA SUBYACENTE basado en ACTIVOS ELEGIBLES</t>
  </si>
  <si>
    <t>NOMINAL OC currently in COVER POOL based on all Assets (i.e. with INELIGIBLE INCLUDED)</t>
  </si>
  <si>
    <t>NOMINALE ÜBERBESICHERUNG in der DECKUNGSMASSE auf der Grundlage der allen Assets (i.e. mit nicht deckungsstockfähig)</t>
  </si>
  <si>
    <t>OC NOMINAL actual en la CARTERA SUBYACENTE basado en TODOS LOS ACTIVOS (incluyendo la CARTERA NO ELEGIBLE)</t>
  </si>
  <si>
    <t>ASSET AND LIABILITY DATA (FOR ALL ISSUERS)</t>
  </si>
  <si>
    <t>VERMÖGENSWERTE UND VERBINDLICHKEITEN (FÜR ALLE EMITTENTEN)</t>
  </si>
  <si>
    <t>INFORMACIÓN DE ACTIVOS Y PASIVOS (PARA TODOS LOS EMISORES)</t>
  </si>
  <si>
    <t>Nominal measures</t>
  </si>
  <si>
    <t>Nominal gemessen</t>
  </si>
  <si>
    <t>En términos nominales</t>
  </si>
  <si>
    <t>Nominal value of COVER POOL (including substitute collateral)</t>
  </si>
  <si>
    <t>Nominalwert der DECKUNGSMASSE (einschließlich Ersatzsicherheiten)</t>
  </si>
  <si>
    <t>Valor nominal de la CARTERA SUBYACENTE (incluyendo toda la cartera)</t>
  </si>
  <si>
    <t>Nominal value of Covered Bonds in issue</t>
  </si>
  <si>
    <t>Nominalwert der emittierten Gedeckten Schuldverschreibungen</t>
  </si>
  <si>
    <t>Valor nominal de las Cédulas vivas</t>
  </si>
  <si>
    <t>NPV CALCULATIONS</t>
  </si>
  <si>
    <t>BERECHNUNG DES BARWERTS</t>
  </si>
  <si>
    <t>CÓMPUTO DE NPV</t>
  </si>
  <si>
    <t>NPV of COVER POOL (actual)</t>
  </si>
  <si>
    <t>Barwert der DECKUNGSMASSE (tatsächlicher Wert)</t>
  </si>
  <si>
    <t>NPV de la CARTERA SUBYACENTE (actual)</t>
  </si>
  <si>
    <t>NPV of Covered Bonds (actual)</t>
  </si>
  <si>
    <t>Barwert der Gedeckten Schuldverschreibungen (tatsächlicher Wert)</t>
  </si>
  <si>
    <t>NPV de las Cédulas (actual)</t>
  </si>
  <si>
    <t>NPV of COVER POOL STRESS 1</t>
  </si>
  <si>
    <t>Barwert der DECKUNGSMASSE (STRESS 1)</t>
  </si>
  <si>
    <t>NPV de la CARTERA SUBYACENTE STRESS 1</t>
  </si>
  <si>
    <t>NPV of COVER POOL STRESS 2</t>
  </si>
  <si>
    <t>Barwert der DECKUNGSMASSE (STRESS 2)</t>
  </si>
  <si>
    <t>NPV de la CARTERA SUBYACENTE STRESS 2</t>
  </si>
  <si>
    <t>NPV of COVER POOL STRESS 3</t>
  </si>
  <si>
    <t>Barwert der DECKUNGSMASSE (STRESS 3)</t>
  </si>
  <si>
    <t>NPV de la CARTERA SUBYACENTE STRESS 3</t>
  </si>
  <si>
    <t>NPV of COVER POOL STRESS 4</t>
  </si>
  <si>
    <t>Barwert der DECKUNGSMASSE (STRESS 4)</t>
  </si>
  <si>
    <t>NPV de la CARTERA SUBYACENTE STRESS 4</t>
  </si>
  <si>
    <t>NPV of Covered Bonds STRESS 1</t>
  </si>
  <si>
    <t>Barwert der Gedeckten Schuldverschreibungen (STRESS 1)</t>
  </si>
  <si>
    <t>NPV de las Cédulas STRESS 1</t>
  </si>
  <si>
    <t>NPV of Covered Bonds STRESS 2</t>
  </si>
  <si>
    <t>Barwert der Gedeckten Schuldverschreibungen (STRESS 2)</t>
  </si>
  <si>
    <t>NPV de las Cédulas STRESS 2</t>
  </si>
  <si>
    <t>NPV of Covered Bonds STRESS 3 for pass through (non-bullet) bonds only</t>
  </si>
  <si>
    <t>Barwert der Gedeckten Schuldverschreibungen (STRESS 3), nur bei pass-through Schuldverschreibungen (nicht endfällig)</t>
  </si>
  <si>
    <t>NPV de las Cédulas STRESS 3</t>
  </si>
  <si>
    <t>NPV of Covered Bonds STRESS 4 for pass through (non-bullet) bonds only</t>
  </si>
  <si>
    <t>Barwert der Gedeckten Schuldverschreibungen (STRESS 4), nur bei pass-through Schuldverschreibungen (nicht endfällig)</t>
  </si>
  <si>
    <t>NPV de las Cédulas STRESS 4</t>
  </si>
  <si>
    <t>DETAILS ON NPV CALCULATIONS IMPOSED BY LEGISLATION (FOR ISSUERS WHO HAVE AN NPV TEST IMPOSED BY LEGISLATION)</t>
  </si>
  <si>
    <t>DETAILS DER GESETZLICH VORGESCHRIEBENEN BARWERTBERECHNUNG (BEI EMITTENTEN, BEI DENEN EIN BARWERTTEST GESETZLICH VORGESCHRIEBEN IST)</t>
  </si>
  <si>
    <t>DETALLE DEL CÓMPUTO DE NPV IMPUESTO POR LA LEGISLACIÓN (EN AQUELLAS LEGISLACIONES QUE ASÍ LO RECOGEN)</t>
  </si>
  <si>
    <t>- NPV of COVER POOL</t>
  </si>
  <si>
    <t>- Barwert der DECKUNGSMASSE</t>
  </si>
  <si>
    <t>- NPV de la CARTERA SUBYACENTE</t>
  </si>
  <si>
    <t>- NPV of Covered Bonds in issue</t>
  </si>
  <si>
    <t xml:space="preserve">- Barwert der Gedeckten Schuldverschreibungen </t>
  </si>
  <si>
    <t>- NPV de las Cédulas</t>
  </si>
  <si>
    <t>Assumptions used in NPV calculation:</t>
  </si>
  <si>
    <t>Annahmen für die Berechnung des Barwerts:</t>
  </si>
  <si>
    <t>Hipótesis utilizadas en el cómputo del NPV</t>
  </si>
  <si>
    <t>- Reference curves used for NPV calculations</t>
  </si>
  <si>
    <t>- Referenzkurven für die Berechnung des Barwerts</t>
  </si>
  <si>
    <t>- Curvas de tipos usadas en el cómputo del NPV</t>
  </si>
  <si>
    <t>- Type of stress adopted for NPV calculation</t>
  </si>
  <si>
    <t>- Typ des für die Berechnung des Barwerts verwendeten Stresses</t>
  </si>
  <si>
    <t>-Tipo de stress usado en el cómputo de NPV</t>
  </si>
  <si>
    <t>- What PREPAYMENT level was assumed for the COVER POOL in this calculation</t>
  </si>
  <si>
    <t>- Annahmen zu VORZEITIGEN ZAHLUNGEN auf die DECKUNGSMASSE in dieser Berechnung</t>
  </si>
  <si>
    <t>-¿Qué tipo de PREPAGO se ha asumido para la CARTERA SUBYACENTE en este cálculo?</t>
  </si>
  <si>
    <t>- If PREPAYMENT level used was not zero, what rate of PREPAYMENT on the COVER POOL was used? (if more than one specify different rates for different products)</t>
  </si>
  <si>
    <t>- Wenn die angenommene VORAUSZAHLUNG nicht bei Null lag, welcher VORAUSZAHLUNGssatz auf die DECKUNGSMASSE wurde angenommen? (geben Sie gegebenenfalls die unterschiedlichen Sätze für unterschiedliche Produkte an)</t>
  </si>
  <si>
    <t>-Si el nivel de PREPAGO no fue cero, qué nivel de PREPAGO de la CARTERA SUBYACENTE se utilizó? (si fue más de uno especificar los distintos niveles para los diversos tipos de productos)</t>
  </si>
  <si>
    <t>Residential Data Template</t>
  </si>
  <si>
    <t>Datenvorlage WOHNIMMOBILIEN-KREDITE</t>
  </si>
  <si>
    <t>INFORMACIÓN CARTERA RESIDENCIAL</t>
  </si>
  <si>
    <t>Overview Data</t>
  </si>
  <si>
    <t>Datenüberblick</t>
  </si>
  <si>
    <t>Resumen de Información</t>
  </si>
  <si>
    <t>País</t>
  </si>
  <si>
    <t>Total LOAN BALANCE:</t>
  </si>
  <si>
    <t>Gesamter KREDITSALDO:</t>
  </si>
  <si>
    <t>Total SALDO VIVO DE PRÉSTAMOS:</t>
  </si>
  <si>
    <t>Average LOAN BALANCE:</t>
  </si>
  <si>
    <t>DURCHSCHNITTLICHER KREDITSALDO</t>
  </si>
  <si>
    <t>MEDIA PONDERADA del SALDO VIVO</t>
  </si>
  <si>
    <t>WA SEASONING (in months):</t>
  </si>
  <si>
    <t>Gewichtete durchschn. BISHERIGE LAUFZEIT (in Monaten):</t>
  </si>
  <si>
    <t>ANTIGÜEDAD MEDIA PONDERADA (en meses):</t>
  </si>
  <si>
    <t>WA REMAINING TERM (in months):</t>
  </si>
  <si>
    <t>Gewichtete durchschn. VERBLEIBENDE LAUFZEIT (in Monaten):</t>
  </si>
  <si>
    <t>PLAZO DE VIDA MEDIA PONDERADA (en meses):</t>
  </si>
  <si>
    <t>NO. OF BORROWERS:</t>
  </si>
  <si>
    <t>ZAHL DER KREDITNEHMER:</t>
  </si>
  <si>
    <t>Nº. DE DEUDORES:</t>
  </si>
  <si>
    <t>NO. OF LOANS:</t>
  </si>
  <si>
    <t>ZAHL DER KREDITE:</t>
  </si>
  <si>
    <t>Nº. DE PRÉSTAMOS</t>
  </si>
  <si>
    <t>NO. OF PROPERTIES:</t>
  </si>
  <si>
    <t>ZAHL DER IMMOBILIEN:</t>
  </si>
  <si>
    <t>Nº. DE PROPIEDADES:</t>
  </si>
  <si>
    <t>WA Indexed LTV (LOAN BALANCE / INDEXED valuation) (in %):</t>
  </si>
  <si>
    <t>Gewichtete durchschnittliche indexierte Beleihungsquote (Kreditsaldo / indexierter Wert) (in %):</t>
  </si>
  <si>
    <t>LTV medio ponderado</t>
  </si>
  <si>
    <t>WA LTV (LOAN BALANCE / original valuation) (in %):</t>
  </si>
  <si>
    <t>Gewichtete durchschnittliche Beleihungsquote (Kreditsaldo / ursprünglicher Wert) (in %):</t>
  </si>
  <si>
    <t>LTV MEDIO PONDERADO:</t>
  </si>
  <si>
    <t>WA Interest Rate on Floating rate Loans (in %):</t>
  </si>
  <si>
    <t>Gewichteter Durchschnittszins für variabel verzinsliche Kredite (in %):</t>
  </si>
  <si>
    <t>TIPO DE INTERÉS MEDIO PONDERADO DE Préstamos a tipo variable:</t>
  </si>
  <si>
    <t>WA MARGIN ON FLOATING RATE LOANS (in bps):</t>
  </si>
  <si>
    <t>GEWICHTETE DURCHSCHNITTLICHE MARGE FÜR VARIABEL VERZINSLICHE KREDITE (in bps):</t>
  </si>
  <si>
    <t>MARGEN MEDIO PONDERADO DE Préstamos a tipo variable:</t>
  </si>
  <si>
    <t>WA Interest Rate on Floating rate Loans originated over last quarter prior to the REPORT DATE (in %):</t>
  </si>
  <si>
    <t>Gewichteter Durchschnittszins für variabel verzinsliche Kredite, die im letzten Quartal vor dem BERICHTSDATUM entstanden (in %):</t>
  </si>
  <si>
    <t>MARGEN MEDIO PONDERADO DE Préstamos a tipo variable originados en el trimestre anterior a la FECHA DEL INFORME:</t>
  </si>
  <si>
    <t>Share of LENDER/STANDARD VARIABLE RATE MORTGAGES</t>
  </si>
  <si>
    <t>Anteil der LENDER / STANDARD VARIABLE RATE-Hypotheken</t>
  </si>
  <si>
    <t>WA Interest Rate on Fixed rate Loans (in %):</t>
  </si>
  <si>
    <t>Gewichteter Durchschnittszins für fest verzinsliche Kredite (in %):</t>
  </si>
  <si>
    <t>TIPO DE INTERÉS MEDIO PONDERADO DE Préstamos a tipo fijo:</t>
  </si>
  <si>
    <t>WA MARGIN ON FIXED RATE LOANS (in bps):</t>
  </si>
  <si>
    <t>GEWICHTETE DURCHSCHNITTLICHE MARGE FÜR FESTVERZINSLICHE KREDITE (in bps):</t>
  </si>
  <si>
    <t>MARGEN MEDIO PONDERADO DE Préstamos a tipo fijo:</t>
  </si>
  <si>
    <t>Gewichteter Durchschnittszins für fest verzinsliche Kredite, die im letzten Quartal vor dem BERICHTSDATUM entstanden (in %):</t>
  </si>
  <si>
    <t>WA MARGIN ON FIXED RATE LOANS originated in last quarter prior to the REPORT DATE (in bps):</t>
  </si>
  <si>
    <t>GEWICHTETE DURCHSCHNITTLICHE MARGE FÜR FESTVERZINSLICHE KREDITE, die im letzten Quartal vor dem BERICHTSDATUM entstanden (in bps):</t>
  </si>
  <si>
    <t>MARGEN MEDIO PONDERADO DE Préstamos a tipo fijo en el trimestre anterior a la FECHA DEL INFORME:</t>
  </si>
  <si>
    <t>Instructions:</t>
  </si>
  <si>
    <t>Hinweise:</t>
  </si>
  <si>
    <t>Instrucciones:</t>
  </si>
  <si>
    <t>- MULTIPLE LOANS to the same borrower should be treated as separate loans except for the purpose of LTV calculations (see LOAN BALANCE for more detail). Example: if there are two loans against a property, the first taken for the original purchase and a second made as a further advance (for the purpose of EQUITY RELEASE for instance). Under loan purpose, the first loan should be treated as a purchase and the second as an EQUITY RELEASE.</t>
  </si>
  <si>
    <t>'- MEHRERE DARLEHEN an den gleichen Darlehensnehmer sollten als verschiedene Darlehen betrachtet werden; ausgenommen für die Berechnung der BELEIHUNGSQUOTE (siehe KREDITSALDO). Beispiel: ist eine Immobilie mit zwei Darlehen beliehen, bezieht sich das erste auf den Kauf und das zweite gilt als weitere Auszahlung.</t>
  </si>
  <si>
    <t>- PRÉSTAMOS MÚLTIPLES del mismo deudor se deben tratar como préstamos separados excepto para el cálculo del LTV (ver SALDO VIVO DE PRÉSTAMOS para mayor información). Ejemplo: si existen dos préstamos cubiertos por la misma hipoteca sobre la misma propiedad y el propósito del primero es la adquisición y el del segundo es mayor endeudamiento, al clasificar el propósito del préstamo el primero se debe tratar bajo el epígrafe  "adquisición" y el segundo com "mayor endeudamiento", siendo el LTV asignado el mismo para ambos préstamos.</t>
  </si>
  <si>
    <t>- Press the "detail data menu" button on this page and then select the level of data input detail you wish to provide by checking the relevant options.</t>
  </si>
  <si>
    <t>- Klicken Sie auf die Schaltfläche "Detail Data Menu" auf diesem Tabellenblatt und wählen Sie dann aus den entsprechenden Möglichkeiten aus, wie detailliert Sie die Daten eingeben wollen.</t>
  </si>
  <si>
    <t xml:space="preserve"> Presionar el botón "detail data menu" en esta hoja y seleccionar el nivel de detalle de información que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</si>
  <si>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t>
  </si>
  <si>
    <t xml:space="preserve">- KREDITSALDO bezieht sich auf den gesamten Kreditbetrag. Um die Beleihungsquote eines bestimmten Kredits zu ermitteln, werden alle zudem alle vor-, gleich- und nachrangigen Kreditsalden beruecksichtigt die durch dieselbe Immobilie besichert sind. Dann wird diese Summe durch den Beleihungswert der Immobilie geteilt.   </t>
  </si>
  <si>
    <t>-El SALDO VIVO DE PRÉSTAMOS se refiere al nominal del préstamo hipotecario. En el cómputo del LTV, éste se debe calcular como la ratio del SALDO VIVO DE LOS PRÉSTAMO más todos los préstamos de mayor, igual o menor rango cubiertos por la misma propiedad, dividido por el valor de tasación de dicha propiedad.</t>
  </si>
  <si>
    <t>- The most important category to complete on this page will usually be the LTV Ranges Distribution by unindexed value.</t>
  </si>
  <si>
    <t>- Besonders wichtig in diesem Tabellenblatt ist die Kategorie Verteilung der BELEIHUNGSQUOTEN nach unindexiertem Wert.</t>
  </si>
  <si>
    <t>- La categoría más importante a completar en esta hoja es la Distribución por Rangos de LTV no indiciados.</t>
  </si>
  <si>
    <t>- WA (weighted average) is weighted according to the related LOAN BALANCE.</t>
  </si>
  <si>
    <t>- Bei Gewichtungen bitte nach dem KREDITSALDO gewichten, falls nicht anders angegeben.</t>
  </si>
  <si>
    <t>-La MEDIA PONDERADA se refiere a cualquier ponderación tomando como factor de la misma el SALDO VIVO DE LOS PRÉSTAMOS.</t>
  </si>
  <si>
    <t>- Under each category under the "detail data menu" each Loan should only be accounted for once. If in doubt choose the most relevant sub-category only.</t>
  </si>
  <si>
    <t>- In jeder Kategorie im "Detail Data Menu" ist jeder Kredit nur einmal aufzuführen, im Zweifelsfall  nur in der am besten passenden Unterkategorie.</t>
  </si>
  <si>
    <t>- En cada epígrafe del menú desplegable "detail data menu", cada Préstamo debería contabilizarse una sola vez. En caso de duda sólo elegir la subcategoría más relevante en la que se pudiera clasificar.</t>
  </si>
  <si>
    <t>- Loans related to the same borrower and exceeding 0.5% of the Total LOAN BALANCE across all ASSET TYPES should in addition be included in the "Commercial LbyL" sheet.</t>
  </si>
  <si>
    <t>- Kredite an einen KREDITNEHMER, die mehr als 0.5% des gesamten KREDITSALDOS für alle TYPEN VON VERMÖGENSWERTEN ausmachen, bitte darüber hinaus im Tabellenblatt "Commercial LbyL" angeben.</t>
  </si>
  <si>
    <t>- Los préstamos concedidos al mismo deudor hipotecario y que excedan el 0.5% del SALDO VIVO DE PRÉSTAMOS calculado sobre todas las CLASES DE ACTIVOS deben incluirse además en la hoja de Excel "Commercial LbyL".</t>
  </si>
  <si>
    <t>1a. Unindexed LTV Ranges Distribution</t>
  </si>
  <si>
    <t>1a. Verteilung der unindexierten BELEIHUNGSQUOTEN</t>
  </si>
  <si>
    <t>1a. Distribución por rangos de LTV no indiciados</t>
  </si>
  <si>
    <t>Unindexed LTV ranges</t>
  </si>
  <si>
    <t>Bandbreiten der unindexierten BELEIHUNGSQUOTEN</t>
  </si>
  <si>
    <t>Rangos de LTV no indiciados</t>
  </si>
  <si>
    <t>Gesamt</t>
  </si>
  <si>
    <t xml:space="preserve">Total  </t>
  </si>
  <si>
    <t>1b. Indexed LTV Ranges Distribution</t>
  </si>
  <si>
    <t>1b. Verteilung der indexierten BELEIHUNGSQUOTEN</t>
  </si>
  <si>
    <t>1b. Distribución por rangos de LTV indiciados</t>
  </si>
  <si>
    <t>Indexed LTV ranges</t>
  </si>
  <si>
    <t>Bandbreiten der indexierten BELEIHUNGSQUOTEN</t>
  </si>
  <si>
    <t>Rangos de LTV indiciados</t>
  </si>
  <si>
    <t>2. SEASONING</t>
  </si>
  <si>
    <t>2. BISHERIGE LAUFZEIT</t>
  </si>
  <si>
    <t>2. ANTIGÜEDAD</t>
  </si>
  <si>
    <t>(in months)</t>
  </si>
  <si>
    <t>(in Monaten)</t>
  </si>
  <si>
    <t>(en meses)</t>
  </si>
  <si>
    <t>3. Property Type</t>
  </si>
  <si>
    <t>3. Immobilientyp</t>
  </si>
  <si>
    <t>3. Tipo de Propiedad</t>
  </si>
  <si>
    <t>House</t>
  </si>
  <si>
    <t>Haus</t>
  </si>
  <si>
    <t>Chalé</t>
  </si>
  <si>
    <t>Flat in block with less than 4 units</t>
  </si>
  <si>
    <t>Wohnung in einem Haus mit weniger als 4 Wohnungen</t>
  </si>
  <si>
    <t>Apartamento en vivienda de menos de 4 unidades</t>
  </si>
  <si>
    <t>Flat in block with 4 or more units</t>
  </si>
  <si>
    <t>Wohnung in einem Haus mit 4 oder mehr Wohnungen</t>
  </si>
  <si>
    <t>Apartamento en vivienda con más de 4 unidades</t>
  </si>
  <si>
    <t>PARTIAL COMMERCIAL USE</t>
  </si>
  <si>
    <t>TEILWEISE GEWERBLICHE NUTZUNG</t>
  </si>
  <si>
    <t>USO COMERCIAL PARCIAL</t>
  </si>
  <si>
    <t>Other/No data</t>
  </si>
  <si>
    <t>Sonstiges/Keine Angaben</t>
  </si>
  <si>
    <t>Otro/No Disponible</t>
  </si>
  <si>
    <t>4. Occupancy Type</t>
  </si>
  <si>
    <t>4. Art der Nutzung</t>
  </si>
  <si>
    <t>4. Tipo de Ocupación</t>
  </si>
  <si>
    <t>Owner-occupied</t>
  </si>
  <si>
    <t>Eigennutzung</t>
  </si>
  <si>
    <t>Vivienda del propietario</t>
  </si>
  <si>
    <t>Non-owner-occupied (buy-to-let) where BORROWER has &lt; 3 properties</t>
  </si>
  <si>
    <t>Keine Eigennutzung (Vermietung); KREDITNEHMER verfügt über &lt; 3 Immobilien</t>
  </si>
  <si>
    <t>Alquiler - si el deudor tiene menos de tres inmuebles</t>
  </si>
  <si>
    <t>Non-owner-occupied (buy-to-let) where BORROWER has &gt; 2 properties</t>
  </si>
  <si>
    <t>Keine Eigennutzung (Vermietung); KREDITNEHMER verfügt über &gt;2 Immobilien</t>
  </si>
  <si>
    <t>Alquiler - si el deudor tiene más de tres inmuebles</t>
  </si>
  <si>
    <t>Vacation/ second home</t>
  </si>
  <si>
    <t>Ferienhaus/Zweitwohnsitz</t>
  </si>
  <si>
    <t>Segunda vivienda/uso vacacional</t>
  </si>
  <si>
    <r>
      <t>Partially owner-occupied</t>
    </r>
    <r>
      <rPr>
        <sz val="10"/>
        <rFont val="Arial"/>
        <family val="2"/>
      </rPr>
      <t/>
    </r>
  </si>
  <si>
    <t>Teilweise Eigennutzung</t>
  </si>
  <si>
    <t>Parcialmente ocupado por el propietario</t>
  </si>
  <si>
    <t>5. Loan Purpose</t>
  </si>
  <si>
    <t>5. Zweck des Kredits</t>
  </si>
  <si>
    <t>5. Propósito del Préstamo</t>
  </si>
  <si>
    <t>Purchase</t>
  </si>
  <si>
    <t>Kauf</t>
  </si>
  <si>
    <t>Adquisición</t>
  </si>
  <si>
    <t>RE-MORTGAGE</t>
  </si>
  <si>
    <t>UMSCHULDUNG DER HYPOTHEK</t>
  </si>
  <si>
    <t>SUBROGACIÓN</t>
  </si>
  <si>
    <t>EQUITY RELEASE</t>
  </si>
  <si>
    <t>Verbraucherkredit gegen Hypothek</t>
  </si>
  <si>
    <t>MAYOR ENDEUDAMIENTO</t>
  </si>
  <si>
    <t>RENOVATION</t>
  </si>
  <si>
    <t>RENOVIERUNG</t>
  </si>
  <si>
    <t>Rehabilitación o renovación</t>
  </si>
  <si>
    <t>Construction (new)</t>
  </si>
  <si>
    <t>Neubau</t>
  </si>
  <si>
    <t>Nueva construcción (no promotor)</t>
  </si>
  <si>
    <t>6. Interest Payment Frequency</t>
  </si>
  <si>
    <t>6. Zinszahlungen</t>
  </si>
  <si>
    <t>6. Frecuencia del pago de intereses</t>
  </si>
  <si>
    <t>BULLET</t>
  </si>
  <si>
    <t>ENDFÄLLIGKEIT</t>
  </si>
  <si>
    <t>Monthly</t>
  </si>
  <si>
    <t>Monatlich</t>
  </si>
  <si>
    <t>Mensual</t>
  </si>
  <si>
    <t>Quarterly</t>
  </si>
  <si>
    <t>Vierteljährlich</t>
  </si>
  <si>
    <t>Trimestral</t>
  </si>
  <si>
    <t>Semi-annually</t>
  </si>
  <si>
    <t>Halbjährlich</t>
  </si>
  <si>
    <t>Semestral</t>
  </si>
  <si>
    <t>Annually</t>
  </si>
  <si>
    <t>Jährlich</t>
  </si>
  <si>
    <t>Anual</t>
  </si>
  <si>
    <t>Sonstiges</t>
  </si>
  <si>
    <t>Otra</t>
  </si>
  <si>
    <t>7. Principal Payment Frequency</t>
  </si>
  <si>
    <t>7. Tilgungszahlungen</t>
  </si>
  <si>
    <t>7. Frecuencia del pago de principal</t>
  </si>
  <si>
    <t>Quarterly / Semi-annually</t>
  </si>
  <si>
    <t>Vierteljährlich / Halbjährlich</t>
  </si>
  <si>
    <t>Endfällig</t>
  </si>
  <si>
    <t>8. INTEREST RATE TYPE</t>
  </si>
  <si>
    <t>8. ZINSTYP</t>
  </si>
  <si>
    <t>8. Clase de Tipo de Interés</t>
  </si>
  <si>
    <t>Variabel verzinslich</t>
  </si>
  <si>
    <t>Variable</t>
  </si>
  <si>
    <t>Fixed rate with reset &lt;2 years</t>
  </si>
  <si>
    <t>Fest verzinslich; Zinsanpassung nach &lt;2 Jahren</t>
  </si>
  <si>
    <t>Fijo cambiando a variable &lt; 2 años</t>
  </si>
  <si>
    <t>Fixed rate with reset  ≥2 but &lt; 5 years</t>
  </si>
  <si>
    <t>Fest verzinslich; Zinsanpassung nach &gt;2 aber &lt; 5 Jahren</t>
  </si>
  <si>
    <t>Fijo cambiando a variable ≥ 2 años y &lt; 5años</t>
  </si>
  <si>
    <t>Fixed rate with reset ≥5 years</t>
  </si>
  <si>
    <t>Fest verzinslich; Zinsanpassung nach &gt;5 Jahren</t>
  </si>
  <si>
    <t>Fijo o fijo con variable a ≥ 5 años</t>
  </si>
  <si>
    <t>9. Employment type</t>
  </si>
  <si>
    <t>9. Berufliche Stellung</t>
  </si>
  <si>
    <t>9. Tipo de ocupación del deudor</t>
  </si>
  <si>
    <t>Employed</t>
  </si>
  <si>
    <t>Angestellter</t>
  </si>
  <si>
    <t>Empleado por cuenta ajena</t>
  </si>
  <si>
    <t>Protected life-time employment</t>
  </si>
  <si>
    <t>Sichere Anstellung auf Lebenszeit</t>
  </si>
  <si>
    <t>Funcionario</t>
  </si>
  <si>
    <t>SELF-EMPLOYED</t>
  </si>
  <si>
    <t>SELBSTÄNDIG</t>
  </si>
  <si>
    <t>AUTÓNOMO</t>
  </si>
  <si>
    <t>Unemployed</t>
  </si>
  <si>
    <t>Arbeitslos</t>
  </si>
  <si>
    <t>Desempleado</t>
  </si>
  <si>
    <t xml:space="preserve">10. Adverse Credit History/Non-Conforming </t>
  </si>
  <si>
    <t>10. Schlechte Kredithistorie/Zahlungsausfälle</t>
  </si>
  <si>
    <t>10. Historial de Crédito del Deudor/Non-Conforming</t>
  </si>
  <si>
    <t>LIMITED INCOME VERIFICATION</t>
  </si>
  <si>
    <t>EINGESCHRÄNKTE EINKOMMENSPRÜFUNG</t>
  </si>
  <si>
    <t>Verificación limitada de ingresos</t>
  </si>
  <si>
    <t>MISSED PAYMENTS ON PREV. MORTGAGES ≥ 2 CONSECUTIVE PAYMENT (medium risk)</t>
  </si>
  <si>
    <t>ZAHLUNGSAUSFÄLLE BEI FRÜHEREN HYPOTHEKEN ≥ 2 AUFEINANDERFOLGENDE ZAHLUNGE (mittleres Risiko)</t>
  </si>
  <si>
    <t>IMPAGOS EN HIPOTECAS ANTERIORES ≥ 2 IMPAGOS CONSECUTIVOS (riesgo medio)</t>
  </si>
  <si>
    <t>SERIOUS ADVERSE CREDIT HISTORY (high risk)</t>
  </si>
  <si>
    <t>ERNSTHAFT SCHLECHTE KREDITHISTORIE (hohes Risiko)</t>
  </si>
  <si>
    <t>HISTORIAL CREDITICIO ADVERSO (riesgo alto)</t>
  </si>
  <si>
    <t>PRIOR PERSONAL BANKRUPTCY (very high risk)</t>
  </si>
  <si>
    <t>VORHERGEHENDER PERSÖNLICHER KONKURS (sehr hohes Risiko)</t>
  </si>
  <si>
    <t>EJECUCIÓN JUDICIAL PASADA (muy alto riesgo)</t>
  </si>
  <si>
    <t>RIGHT-TO-BUY</t>
  </si>
  <si>
    <t>VORKAUFRECHT</t>
  </si>
  <si>
    <t>Vivienda de protección oficial o precio subsidiado</t>
  </si>
  <si>
    <t xml:space="preserve">11. LOANS IN ARREARS </t>
  </si>
  <si>
    <t>11. RÜCKSTÄNDIGE KREDITE</t>
  </si>
  <si>
    <t>11. MOROSIDAD</t>
  </si>
  <si>
    <t>Months</t>
  </si>
  <si>
    <t>Monate</t>
  </si>
  <si>
    <t>Meses</t>
  </si>
  <si>
    <t>&lt;2 (and not BPI or Fce)</t>
  </si>
  <si>
    <t>&lt;2 (keine Einleitung eines Konkursverfahrens bzw. Zwangsvollstreckung)</t>
  </si>
  <si>
    <t xml:space="preserve"> ≤2 (y no se ha iniciado PLR o ejecución)</t>
  </si>
  <si>
    <t>≥2-&lt;6 (and not BPI or Fce)</t>
  </si>
  <si>
    <t>≥2-&lt;6 (keine Einleitung eines Konkursverfahrens bzw. Zwangsvollstreckung)</t>
  </si>
  <si>
    <t xml:space="preserve"> ≥2-&lt;6 (y no se ha iniciado PLR o ejecución)</t>
  </si>
  <si>
    <t>≥6-&lt;12 (and not BPI or Fce)</t>
  </si>
  <si>
    <t>≥6-&lt;12 (keine Einleitung eines Konkursverfahrens bzw. Zwangsvollstreckung)</t>
  </si>
  <si>
    <t xml:space="preserve"> ≥6-&lt;12 (y no se ha iniciado PLR o ejecución)</t>
  </si>
  <si>
    <t>&gt;12 (and not BPI or Fce)</t>
  </si>
  <si>
    <t>&gt;12 (keine Einleitung eines Konkursverfahrens oder Zwangsvollstreckung)</t>
  </si>
  <si>
    <t xml:space="preserve"> ≥12 (y no se ha iniciado PLR o ejecución)</t>
  </si>
  <si>
    <t>Bankruptcy proceedings initialted ("BPI") (and not Fce)</t>
  </si>
  <si>
    <t>Einleitung eines Konkursverfahrens (keine Zwangsvollstreckung)</t>
  </si>
  <si>
    <t>se ha iniciado proceso legal recuperatorio ("PLR") (y no ejecución)</t>
  </si>
  <si>
    <t>Foreclosure ("Fce")</t>
  </si>
  <si>
    <t>Zwangsvollstreckung</t>
  </si>
  <si>
    <t>En Ejecución</t>
  </si>
  <si>
    <t>12. PRIOR RANKS</t>
  </si>
  <si>
    <t>12. VORRANGIGE VERBINDLICHKEITEN</t>
  </si>
  <si>
    <t>12. RANGOS SUPERIORES</t>
  </si>
  <si>
    <t xml:space="preserve">No PRIOR RANKS </t>
  </si>
  <si>
    <t>Keine vorrangigen Verbindlichkeiten</t>
  </si>
  <si>
    <t>No Rangos Superiores</t>
  </si>
  <si>
    <t>PRIOR RANKS (total)</t>
  </si>
  <si>
    <t>VORRANGIGE VERBINDLICHKEITEN (gesamt)</t>
  </si>
  <si>
    <t>TOTAL DE RANGOS SUPERIORES</t>
  </si>
  <si>
    <t>PRIOR RANKS &lt;25% LOAN BALANCE</t>
  </si>
  <si>
    <t>VORRANGIGE VERBINDLICHKEITEN &lt;25% des KREDITSALDOS</t>
  </si>
  <si>
    <t>RANGOS SUPERIORES &lt;25% del SALDO VIVO DE PRÉSTAMOS</t>
  </si>
  <si>
    <t>PRIOR RANKS ≥25%-&lt;50% LOAN BALANCE</t>
  </si>
  <si>
    <t>VORRANGIGE VERBINDLICHKEITEN ≥25%-&lt;50% des KREDITSALDOS</t>
  </si>
  <si>
    <t>RANGOS SUPERIORES ≥25%-&lt;50% del SALDO VIVO DE PRÉSTAMOS</t>
  </si>
  <si>
    <t>PRIOR RANKS ≥50%-&lt;75% LOAN BALANCE</t>
  </si>
  <si>
    <t>VORRANGIGE VERBINDLICHKEITEN ≥50%-&lt;75% des KREDITSALDOS</t>
  </si>
  <si>
    <t>RANGOS SUPERIORES ≥50%-&lt;75% del SALDO VIVO DE PRÉSTAMOS</t>
  </si>
  <si>
    <t>PRIOR RANKS &gt;75% LOAN BALANCE</t>
  </si>
  <si>
    <t>VORRANGIGE VERBINDLICHKEITEN &gt;75% des KREDITSALDOS</t>
  </si>
  <si>
    <t>RANGOS SUPERIORES &gt;75% del SALDO VIVO DE PRÉSTAMOS</t>
  </si>
  <si>
    <t>13. PROVISIONED LOANS</t>
  </si>
  <si>
    <t>13. KREDITE MIT RÜCKSTELLUNGEN</t>
  </si>
  <si>
    <t>13. PROVISIONES</t>
  </si>
  <si>
    <t>No provisioning</t>
  </si>
  <si>
    <t>Keine Rückstellungen</t>
  </si>
  <si>
    <t>Sin provisionar</t>
  </si>
  <si>
    <t>PARTIAL PROVISIONING</t>
  </si>
  <si>
    <t>TEILWEISE RÜCKSTELLUNGEN</t>
  </si>
  <si>
    <t>PROVISIÓN PARCIAL</t>
  </si>
  <si>
    <t>FULL PROVISIONING</t>
  </si>
  <si>
    <t>VOLLSTÄNDIGE RÜCKSTELLUNGEN</t>
  </si>
  <si>
    <t>PROVISIÓN TOTAL</t>
  </si>
  <si>
    <t>13. Regions</t>
  </si>
  <si>
    <t>13. Regionen</t>
  </si>
  <si>
    <t>13. COMUNIDADES AUTONOMAS</t>
  </si>
  <si>
    <t>Commercial Data Template</t>
  </si>
  <si>
    <t>Datenvorlage zu Hypotheken für gewerblich genutzte Immobilien</t>
  </si>
  <si>
    <t>INFORMACIÓN CARTERA COMERCIAL</t>
  </si>
  <si>
    <t>Main Country</t>
  </si>
  <si>
    <t>Hauptland</t>
  </si>
  <si>
    <t>País principal</t>
  </si>
  <si>
    <t>WA LOAN BALANCE:</t>
  </si>
  <si>
    <t>GEWICHTETER DURCHSCHNITTLICHER KREDITSALDO</t>
  </si>
  <si>
    <t>Gewichtete durchschnittliche BISHERIGE LAUFZEIT (in Monaten):</t>
  </si>
  <si>
    <t>Gewichtete durchschnittliche Restlaufzeit (in Monaten):</t>
  </si>
  <si>
    <t>WA DSCR (e.g. 2.1)</t>
  </si>
  <si>
    <t>Gewichtete durchschnittliche SCHULDENDIENSTDECKUNGSQUOTE (z.B. 2.1):</t>
  </si>
  <si>
    <t>DSCR MEDIO PONDERADO:</t>
  </si>
  <si>
    <t>WA Current LTV (LOAN BALANCE / UPDATED valuation) (in %):</t>
  </si>
  <si>
    <t>Gewichtete durchschnittliche aktuelle Beleihungsquote (Kreditsaldo / aktualisierte Bewertung) (in %):</t>
  </si>
  <si>
    <t>LTV MEDIO Actual (Balance del préstamo / valor actualizado de la propiedad)</t>
  </si>
  <si>
    <t>WA LTV (in %):</t>
  </si>
  <si>
    <t>Gewichtete durchschnittliche Beleihungsquote (in %):</t>
  </si>
  <si>
    <t>Gewichteter Durchschnittszins für variabel verzinsliche Kredite(in %):</t>
  </si>
  <si>
    <t>Gewichteter Durchschnittszins für variabel verzinsliche Kredite, die im letzten Quartal vor dem BERICHTSDATUM gewaehrt worden sind :</t>
  </si>
  <si>
    <t>WA Interest Rate on fixed rate Loans (in %):</t>
  </si>
  <si>
    <t xml:space="preserve"> Presionar el botón "detail data menu" en esta hoja y seleccionar el nivel de detalle de información quse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</si>
  <si>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 The value should be based on the value of the property at loan origination. See LTV.</t>
  </si>
  <si>
    <t>- KREDITSALDO bezieht sich auf gesamte Kreditbetrag. Zur Berechnung der BELEIHUNGSQUOTE: Im Zaehler: KREDITSALDO plus alle vorrangigen, gleichrangigen und nachrangigen Kredite welche durch dieselbe Immobilie besichert sind / Im Nenner: Wert der Immobilie zum Zeitpunkt der Kreditgewaehrung. Vgl. BELEIHUNGSWERT.</t>
  </si>
  <si>
    <t>-El SALDO VIVO DE PRÉSTAMOS se refiere al nominal del préstamo hipotecario. En el cómputo del LTV, éste se debe calcular como la ratio del SALDO VIVO DE LOS PRÉSTAMOS más todos los préstamos de mayor, igual o menor rango cubiertos por la misma propiedad, dividido por el valor de tasación de dicha propiedad. Ver LTV</t>
  </si>
  <si>
    <t>- The most useful category to complete on this page may be the INTERNAL RATING SCORING split by LTV bands.</t>
  </si>
  <si>
    <t>- Von besonderer Wichtigkeit in diesem Tabellenblatt sind die Kategorie INTERNES RATING nach BELEIHUNGSQUOTE.</t>
  </si>
  <si>
    <t>- La categoría más importante a completar en esta hoja es la Distribución por RATINGS INTERNOS distribuidos en rangos de LTV.</t>
  </si>
  <si>
    <t xml:space="preserve"> - WA (weighted average) is weighted according to the related LOAN BALANCE.</t>
  </si>
  <si>
    <t xml:space="preserve"> - Die Gewichtung der gewichteten Durchschnittswerte erfolgt gemäß dem entsprechenden KREDITSALDO.</t>
  </si>
  <si>
    <t>- If any single property type accounts for a majority (more than 50%) of the LOAN BALANCE this majority property type should be selected.</t>
  </si>
  <si>
    <t>- Wenn ein Immobilientyp im Hinblick auf den KREDITSALDO überwiegt (über 50%), diesen auswählen.</t>
  </si>
  <si>
    <t>- Si un tipo de propiedad representa la mayoría del SALDO VIVO DEL PRÉSTAMO (más del 50%), dicho tipo debe ser asignado al préstamo.</t>
  </si>
  <si>
    <t>- Commercial LOANS refer to loans which do not qualify as residential, are not backed by a company related to the public sector, but are backed by a mortgage. See COMMERCIAL LOAN and PARTIAL COMMERCIAL USE.</t>
  </si>
  <si>
    <t>GEWERBLICHE IMMOBILIENKREDITE beziehen sich auf durch Immobilien besicherte Kredite die nicht als Wohnimmobilien-Krediten klassifiziert wurden, nicht an Kreditnehmer aus dem öffentlicher Sektor vergeben wurden und durch Grundpfandrechte (auf andere Immobilien) besichert sind. Vgl. WOHNINMOBILIENKREDITE und TEILWEISE GEWERBLICHE NUTZUNG.</t>
  </si>
  <si>
    <t>Los préstamos comerciales son aquellos préstamos que no cumplan los criterios para ser tratados como residenciales, no están respaldados por el sector público y están respaldados por hipoteca. (Ver también PRÉSTAMO COMERCIAL y USO COMERCIAL PARCIAL)</t>
  </si>
  <si>
    <t>1. INTERNAL RATING SCORING</t>
  </si>
  <si>
    <t>1. INTERNES RATING</t>
  </si>
  <si>
    <t>1. RATINGS INTERNOS</t>
  </si>
  <si>
    <t>Overall</t>
  </si>
  <si>
    <t>General</t>
  </si>
  <si>
    <t>1a. INTERNAL RATING SCORING</t>
  </si>
  <si>
    <t>1a. INTERNES RATING</t>
  </si>
  <si>
    <t>1a. RATINGS INTERNOS</t>
  </si>
  <si>
    <t>Property Quality</t>
  </si>
  <si>
    <t>Qualität der Immobilie</t>
  </si>
  <si>
    <t>Cualidad de las Propiedades</t>
  </si>
  <si>
    <t>1b. INTERNAL RATING SCORING</t>
  </si>
  <si>
    <t>1b. INTERNES RATING</t>
  </si>
  <si>
    <t>1b. RATINGS INTERNOS</t>
  </si>
  <si>
    <t>Property Location</t>
  </si>
  <si>
    <t>Lage der Immobilie</t>
  </si>
  <si>
    <t>Localización de las Propiedades</t>
  </si>
  <si>
    <t>1ab. INTERNAL RATING SCORING</t>
  </si>
  <si>
    <t>1ab. INTERNES RATING</t>
  </si>
  <si>
    <t>1ab. RATINGS INTERNOS</t>
  </si>
  <si>
    <t xml:space="preserve"> Property Quality AND Property Location </t>
  </si>
  <si>
    <t>Qualität UND Lage der Immobilie</t>
  </si>
  <si>
    <t>Cualidad Y Localización de las Propiedades</t>
  </si>
  <si>
    <t>1c. INTERNAL RATING SCORING</t>
  </si>
  <si>
    <t>1c. INTERNES RATING</t>
  </si>
  <si>
    <t>1c. RATING INTERNOS</t>
  </si>
  <si>
    <t>BORROWER/Sponsor Quality</t>
  </si>
  <si>
    <t>Qualität des KREDITNEHMERs / des Bürgen</t>
  </si>
  <si>
    <t>DEUDOR/Cualidad del Sponsor</t>
  </si>
  <si>
    <t>1d. INTERNAL RATING SCORING</t>
  </si>
  <si>
    <t>1d. INTERNES RATING</t>
  </si>
  <si>
    <t>1d. RATING INTERNOS</t>
  </si>
  <si>
    <t>Tenants Quality</t>
  </si>
  <si>
    <t>Qualität der Mieter</t>
  </si>
  <si>
    <t>Cualidad de los Arrendatarios</t>
  </si>
  <si>
    <t>1cd. INTERNAL RATING SCORING</t>
  </si>
  <si>
    <t>1cd. INTERNES RATING</t>
  </si>
  <si>
    <t>1cd. RATING INTERNOS</t>
  </si>
  <si>
    <t>BORROWER/Sponsor AND Tenant Quality</t>
  </si>
  <si>
    <t>Qualität des KREDITNEHMERs / des Bürgen UND der Mieter</t>
  </si>
  <si>
    <t>DEUDOR/Sponsor y calidad de los arrendatarios</t>
  </si>
  <si>
    <t>1a. LTV Distribution - with value based on market or lending value</t>
  </si>
  <si>
    <t>1a. Verteilung der BELEIHUNGSQUOTEN - auf Markt- oder Beleihungswertbasis</t>
  </si>
  <si>
    <t>1a. Distribución por rangos de LTV -valor de mercado o de tasación</t>
  </si>
  <si>
    <t>1b. LTV Distribution - with value based on vacant possession value</t>
  </si>
  <si>
    <t>1b. Verteilung der BELEIHUNGSQUOTEN - auf Basis des "vacant possession value"</t>
  </si>
  <si>
    <t>1b. Distribución por rangos de LTV -valor basado en utilización</t>
  </si>
  <si>
    <t>LTV Ranges</t>
  </si>
  <si>
    <t>Bandbreiten der BELEIHUNGSQUOTEN</t>
  </si>
  <si>
    <t>Rangos de LTV</t>
  </si>
  <si>
    <t>2. Property  Type</t>
  </si>
  <si>
    <t>2. Immobilientyp</t>
  </si>
  <si>
    <t>2. Tipo de Propiedad</t>
  </si>
  <si>
    <t>Offices (total)</t>
  </si>
  <si>
    <t>Bürogebäude (gesamt)</t>
  </si>
  <si>
    <t>Oficinas (Total)</t>
  </si>
  <si>
    <t>Offices in central business district</t>
  </si>
  <si>
    <t>Bürogebäude in zentralem Geschäftsviertel</t>
  </si>
  <si>
    <t>Oficinas en un distrito céntrico en ciudad</t>
  </si>
  <si>
    <t>Offices in other areas</t>
  </si>
  <si>
    <t>Bürogebäude in anderen Vierteln</t>
  </si>
  <si>
    <t>Oficinas en zonas suburbanas</t>
  </si>
  <si>
    <t>Retail (total)</t>
  </si>
  <si>
    <t>Einzelhandelsflächen (gesamt)</t>
  </si>
  <si>
    <t>Locales comerciales (total)</t>
  </si>
  <si>
    <t>Retail anchored</t>
  </si>
  <si>
    <t>Einzelhandelsflächen in Einkaufszentren</t>
  </si>
  <si>
    <t>Grande Superficie comercial</t>
  </si>
  <si>
    <t>Retail unanchored</t>
  </si>
  <si>
    <t>Einzelhandelsflächen außerhalb von Einkaufszentren</t>
  </si>
  <si>
    <t>Comercio minorista</t>
  </si>
  <si>
    <t>Industrial (total)</t>
  </si>
  <si>
    <t>Industriegebäude (gesamt)</t>
  </si>
  <si>
    <t>Logistical facilities, warehouses</t>
  </si>
  <si>
    <t>Logistikgebäude, Lagergebäude</t>
  </si>
  <si>
    <t>Uso logístico, almacenes</t>
  </si>
  <si>
    <t>Other (plant, factories)</t>
  </si>
  <si>
    <t>Sonstiges (Anlagen, Fabriken)</t>
  </si>
  <si>
    <t>Otros (plantas industriales, etc.)</t>
  </si>
  <si>
    <t>Hotel</t>
  </si>
  <si>
    <t>Hotels</t>
  </si>
  <si>
    <t>Multifamily (total)</t>
  </si>
  <si>
    <t>Mehrfamilienhäuser (gesamt)</t>
  </si>
  <si>
    <t>PROMOTORES INMOBILIARIOS</t>
  </si>
  <si>
    <t xml:space="preserve">    Landlord</t>
  </si>
  <si>
    <t>Vermieter</t>
  </si>
  <si>
    <t>Promotores con menos de tres proyectos</t>
  </si>
  <si>
    <t xml:space="preserve">   Tenant Co-operative Property</t>
  </si>
  <si>
    <t>Gemeinschaftseigentum mit Mietern</t>
  </si>
  <si>
    <t>Promotores con más de tres proyectos</t>
  </si>
  <si>
    <t>MIXED USE</t>
  </si>
  <si>
    <t>GEMISCHTE NUTZUNG</t>
  </si>
  <si>
    <t>USO MIXTO</t>
  </si>
  <si>
    <t xml:space="preserve">LAND </t>
  </si>
  <si>
    <t>GRUNDSTÜCKE</t>
  </si>
  <si>
    <t>TERRENO</t>
  </si>
  <si>
    <t>OTHER PROPERTY TYPE</t>
  </si>
  <si>
    <t>SONSTIGER IMMOBILIENTYP</t>
  </si>
  <si>
    <t>Otro</t>
  </si>
  <si>
    <t>3. PRIOR RANKS</t>
  </si>
  <si>
    <t>3. VORRANGIGE VERBINDLICHKEITEN</t>
  </si>
  <si>
    <t>3. RANGOS SUPERIORES</t>
  </si>
  <si>
    <r>
      <t xml:space="preserve">Keine </t>
    </r>
    <r>
      <rPr>
        <b/>
        <sz val="10"/>
        <rFont val="Arial"/>
        <family val="2"/>
      </rPr>
      <t>vorrangigen Verbindlichkeiten</t>
    </r>
  </si>
  <si>
    <t>SIN RANGOS SUPERIORES</t>
  </si>
  <si>
    <t>PRIOR RANKS &lt;25% of property value</t>
  </si>
  <si>
    <t>VORRANGIGE VERBINDLICHKEITEN &lt;25% des Wertes der Immobilie</t>
  </si>
  <si>
    <t>RANGOS SUPERIORES &lt;25% del valor del inmueble</t>
  </si>
  <si>
    <t>PRIOR RANKS ≥25%-&lt;50% of property value</t>
  </si>
  <si>
    <t>VORRANGIGE VERBINDLICHKEITEN ≥25%-&lt;50% des Wertes der Immobilie</t>
  </si>
  <si>
    <t>RANGOS SUPERIORES ≥25%-&lt;50% del valor del inmueble</t>
  </si>
  <si>
    <t>PRIOR RANKS ≥50%-&lt;75% of property value</t>
  </si>
  <si>
    <t>VORRANGIGE VERBINDLICHKEITEN ≥50%-&lt;75% des Wertes der Immobilie</t>
  </si>
  <si>
    <t>RANGOS SUPERIORES ≥50%-&lt;75% del valor del inmueble</t>
  </si>
  <si>
    <t>PRIOR RANKS &gt;75% of property value</t>
  </si>
  <si>
    <t>VORRANGIGE VERBINDLICHKEITEN &gt;75% des Wertes der Immobilie</t>
  </si>
  <si>
    <t>RANGOS SUPERIORES &gt;75% del valor del inmueble</t>
  </si>
  <si>
    <t>4. Principal Repayment Pattern</t>
  </si>
  <si>
    <t>4.Rückzahlung des Kredits</t>
  </si>
  <si>
    <t>4. Tipo de amortización de Principal</t>
  </si>
  <si>
    <t>BULLET (no amortisation of principal before repayment of loan)</t>
  </si>
  <si>
    <t>Endfällig (keine Tilgungszahlungen vor der Fälligkeit des Darlehens)</t>
  </si>
  <si>
    <t>BULLET (no se amortiza el principal hasta el vencimiento del préstamo)</t>
  </si>
  <si>
    <t>Partial BULLET with partial amortisation on an ANNUITY basis</t>
  </si>
  <si>
    <t>Teilweise endfällig (ANNUITÄTENDARLEHEN)</t>
  </si>
  <si>
    <t>Parcialmente BULLET con parte de AMORTIZACIÓN FRANCESA</t>
  </si>
  <si>
    <t>Partial BULLET with partial amortisation on a STRAIGHT LINE basis</t>
  </si>
  <si>
    <t>Teilweise endfällig (RATENDARLEHEN)</t>
  </si>
  <si>
    <t>Parcialmente BULLET con parte de AMORTIZACIÓN LINEAL</t>
  </si>
  <si>
    <t>Partial BULLET with partial amortisation on other basis</t>
  </si>
  <si>
    <t>Teilweise endfällig mit anderer teilweiser Tilgung</t>
  </si>
  <si>
    <t>Parcialmente BULLET con parte de amortización de otro tipo</t>
  </si>
  <si>
    <t>Fully amortising principal with principal repaid on an ANNUITY basis</t>
  </si>
  <si>
    <t>Darlehen mit vollständiger annuitätischer Tilgung</t>
  </si>
  <si>
    <t>AMORTIZACIÓN FRANCESA</t>
  </si>
  <si>
    <t>Fully amortising principal with principal repaid on a STRAIGHT LINE basis</t>
  </si>
  <si>
    <t>Vollständig amortisierendes RATENDARLEHEN</t>
  </si>
  <si>
    <t>AMORTIZACIÓN LINEAL</t>
  </si>
  <si>
    <t>Fully amortising principal with principal repaid on another basis</t>
  </si>
  <si>
    <t>Vollständig amortisierendes Darlehen mit anderer Tilgungsart</t>
  </si>
  <si>
    <t>OTRO TIPO DE AMORTIZACIÓN</t>
  </si>
  <si>
    <t>5. INTEREST RATE TYPE</t>
  </si>
  <si>
    <t>5.ZINSTYP</t>
  </si>
  <si>
    <t>Fest verzinslich</t>
  </si>
  <si>
    <t>Tipo Fijo</t>
  </si>
  <si>
    <t>6. Current REMAINING TERM</t>
  </si>
  <si>
    <t>6. VERBLEIBENDE LAUFZEIT</t>
  </si>
  <si>
    <t xml:space="preserve">6. VIDA RESTANTE </t>
  </si>
  <si>
    <t>REMAINING TERM in years</t>
  </si>
  <si>
    <t>VERBLEIBENDE LAUFZEIT in Jahren</t>
  </si>
  <si>
    <t>VIDA RESTANTE en años</t>
  </si>
  <si>
    <t>7. LOANS IN ARREARS/foreclosure proceedings</t>
  </si>
  <si>
    <t>7. RÜCKSTÄNDIGE KREDITE / Zwangsvollstreckungsverfahren</t>
  </si>
  <si>
    <t>7. MOROSIDAD y PROCEDIMIENTOS DE EJECUCIÓN</t>
  </si>
  <si>
    <t>Monaten</t>
  </si>
  <si>
    <t>&lt;2 (y no se ha iniciado proceso recuperatorio o ejecución)</t>
  </si>
  <si>
    <t xml:space="preserve"> ≥2-&lt;6 (y no se ha iniciado proceso recuperatorio o ejecución)</t>
  </si>
  <si>
    <t xml:space="preserve"> ≥6-&lt;12 (y no se ha iniciado proceso recuperatorio o ejecución)</t>
  </si>
  <si>
    <t>≥12 (and not BPI or Fce)</t>
  </si>
  <si>
    <t>≥12 (keine Einleitung eines Konkursverfahrens bzw. Zwangsvollstreckung)</t>
  </si>
  <si>
    <t>≥12 (y no se ha iniciado proceso recuperatorio o ejecución)</t>
  </si>
  <si>
    <t>Bankruptcy proceedings initiated ("BPI") and Foreclosure ("Fce")</t>
  </si>
  <si>
    <t>Einleitung eines Konkursverfahrens und Zwangsvollstreckung</t>
  </si>
  <si>
    <t>se ha iniciado proceso recuperatorio y en ejecución</t>
  </si>
  <si>
    <t>9. PROVISIONED LOANS</t>
  </si>
  <si>
    <t>9. WERTBERICHTIGTE KREDITE</t>
  </si>
  <si>
    <t>9. PROVISIONES</t>
  </si>
  <si>
    <t>No Provisioning</t>
  </si>
  <si>
    <t>Keine RÜCKSTELLUNGEN/ Wertberichtigungen</t>
  </si>
  <si>
    <t>TEILWEISE RÜCKSTELLUNGEN / Wertberichtigungen</t>
  </si>
  <si>
    <t>VOLLSTÄNDIGE RÜCKSTELLUNGEN / Wertberichtigungen</t>
  </si>
  <si>
    <t>8. DSCR</t>
  </si>
  <si>
    <t>8. SCHULDENDIENSTDECKUNGSQUOTE</t>
  </si>
  <si>
    <t>Ranges</t>
  </si>
  <si>
    <t>Bandbreiten</t>
  </si>
  <si>
    <t>Rangos</t>
  </si>
  <si>
    <t>11. No. of Tenants</t>
  </si>
  <si>
    <t>11. Anzahl der Mieter</t>
  </si>
  <si>
    <t>11. Núm. de arrendatarios</t>
  </si>
  <si>
    <t>Ranges of Tenants</t>
  </si>
  <si>
    <t>Mieter</t>
  </si>
  <si>
    <t>Arrendatarios</t>
  </si>
  <si>
    <t>11a. No. of Tenants - by DSCR ranges</t>
  </si>
  <si>
    <t>11a. Anzahl der Mieter - nach SCHULDENDIENSTDECKUNGSQUOTE</t>
  </si>
  <si>
    <t>11a. Núm. of arrendatarios - por rangos DSCR</t>
  </si>
  <si>
    <t>9. Regions</t>
  </si>
  <si>
    <t>9. Regionen</t>
  </si>
  <si>
    <t>9. COMUNIDADES AUTÓNOMAS</t>
  </si>
  <si>
    <t>9a. Regions - by LTV Ranges</t>
  </si>
  <si>
    <t>9a. Regionen nach Korridoren für die BELEIHUNGSQUOTE</t>
  </si>
  <si>
    <t>9a. COMUNIDADES AUTÓNOMAS por rangos de LTV</t>
  </si>
  <si>
    <t>Public Sector Loans</t>
  </si>
  <si>
    <t>Kredite an den öffentlichen Sektor</t>
  </si>
  <si>
    <t>Cartera del Sector Público</t>
  </si>
  <si>
    <t>ZAHL DER KREDITE</t>
  </si>
  <si>
    <t>Nº de Préstamos</t>
  </si>
  <si>
    <t>Internal LOAN Rating</t>
  </si>
  <si>
    <t>INTERNES RATING des Kredits</t>
  </si>
  <si>
    <t>Rating interno del préstamo</t>
  </si>
  <si>
    <t>Individual Information on Public Sector Assets</t>
  </si>
  <si>
    <t>Daten zu einzelnen Krediten an den öffentlichen Sektor</t>
  </si>
  <si>
    <t>Información individual</t>
  </si>
  <si>
    <t>DEBTOR Name</t>
  </si>
  <si>
    <t>Name des SCHULDNERS</t>
  </si>
  <si>
    <t>Nombre del DEUDOR</t>
  </si>
  <si>
    <t>Type of exposure</t>
  </si>
  <si>
    <t>Art der Exposure</t>
  </si>
  <si>
    <t>Tipo de exposicion</t>
  </si>
  <si>
    <t>Country in which DEBTOR is based</t>
  </si>
  <si>
    <t>Land, in dem der SCHULDNER ansässig ist</t>
  </si>
  <si>
    <t>País del DEUDOR</t>
  </si>
  <si>
    <t>Region of DEBTOR</t>
  </si>
  <si>
    <t>Region des SCHULDNERS</t>
  </si>
  <si>
    <t>Región del DEUDOR</t>
  </si>
  <si>
    <t>Loan currency</t>
  </si>
  <si>
    <t>Währung des Kredits</t>
  </si>
  <si>
    <t>DIVISA del PRÉSTAMO</t>
  </si>
  <si>
    <t>LOAN BALANCE - 1</t>
  </si>
  <si>
    <t>KREDITSALDO - 1</t>
  </si>
  <si>
    <t>SALDO VIVO DEL PRÉSTAMO -1</t>
  </si>
  <si>
    <t>LOAN BALANCE - 2</t>
  </si>
  <si>
    <t>KREDITSALDO - 2</t>
  </si>
  <si>
    <t>SALDO VIVO DEL PRÉSTAMO -2</t>
  </si>
  <si>
    <t>Moody's DEBTOR Rating</t>
  </si>
  <si>
    <t>SCHULDNER-Rating von Moody's</t>
  </si>
  <si>
    <t>Rating del DEUDOR según Moody's</t>
  </si>
  <si>
    <t>S&amp;P DEBTOR Rating</t>
  </si>
  <si>
    <t>SCHULDNER-Rating von S&amp;P</t>
  </si>
  <si>
    <t>Rating del DEUDOR según S&amp;P</t>
  </si>
  <si>
    <t>Fitch DEBTOR Rating</t>
  </si>
  <si>
    <t>SCHULDNER-Rating von Fitch</t>
  </si>
  <si>
    <t>Rating del DEUDOR según Fitch</t>
  </si>
  <si>
    <t>Internal DEBTOR Rating</t>
  </si>
  <si>
    <t>INTERNES RATING für den SCHULDNER</t>
  </si>
  <si>
    <t>Rating Interno del Deudor</t>
  </si>
  <si>
    <t>Maturity date on Loan (dd/mm/yyyy)</t>
  </si>
  <si>
    <t>Fälligkeitsdatum des Kredits (TT/MM/JJJJ)</t>
  </si>
  <si>
    <t>Fecha de Vencimiento (dd/mm/aaaa)</t>
  </si>
  <si>
    <t>Interest rate, if DEBTOR pays fixed rate (in %)</t>
  </si>
  <si>
    <t>Zinssatz, in% (wenn SCHULDNER einen festen Zinssatz zahlt)</t>
  </si>
  <si>
    <t>Tipo de interés si es a tipo fijo (en %)</t>
  </si>
  <si>
    <t>Interest margin, if DEBTOR pays floating rate (in %)</t>
  </si>
  <si>
    <t>Zinssatz, in% (wenn SCHULDNER einen variabelen Zinssatz zahlt)</t>
  </si>
  <si>
    <t>Margen si es a tipo variable (en %)</t>
  </si>
  <si>
    <t>BASIS or reference rate (if DEBTOR pays floating rate)</t>
  </si>
  <si>
    <t>BASIS oder Referenzzinssatz (wenn SCHULDNER variabel verzinst zahlt)</t>
  </si>
  <si>
    <t>Tipo de interes de referencia, préstamos a tipo variable</t>
  </si>
  <si>
    <t>Is Loan also backed by a mortgage?</t>
  </si>
  <si>
    <t>Ist der Kredit zusaetzlich durch eine Hypothek besichert?</t>
  </si>
  <si>
    <t>Tiene garantía real?</t>
  </si>
  <si>
    <t>LTV (%)</t>
  </si>
  <si>
    <t>BELEIHUNGSQUOTE des Kredits (%)</t>
  </si>
  <si>
    <t>Eligible for repo transactions with ECB / applicable central bank</t>
  </si>
  <si>
    <t>Zugelassen für Repo-Geschäfte mit EZB / Zentralbank</t>
  </si>
  <si>
    <t>Elegible en operaciones de REPO con BCE / banco central</t>
  </si>
  <si>
    <t>Loan performing (in months)</t>
  </si>
  <si>
    <t>RÜCKSTÄNDIGE KREDITE (in Monaten)</t>
  </si>
  <si>
    <t>MOROSIDAD (en meses)</t>
  </si>
  <si>
    <t>Smallest Economic sub-region</t>
  </si>
  <si>
    <t>Kleinste Sub-Region</t>
  </si>
  <si>
    <t>Provincia</t>
  </si>
  <si>
    <t>Principal Repayment Method</t>
  </si>
  <si>
    <t>Rückzahlungsprofil</t>
  </si>
  <si>
    <t>Método de amortización de principal</t>
  </si>
  <si>
    <t>Substitute Collateral</t>
  </si>
  <si>
    <t>Ersatzsicherheiten</t>
  </si>
  <si>
    <r>
      <t>Colateral Complementario</t>
    </r>
    <r>
      <rPr>
        <i/>
        <sz val="14"/>
        <rFont val="Arial Black"/>
        <family val="2"/>
      </rPr>
      <t xml:space="preserve"> (no aplicable a Cédulas españolas)</t>
    </r>
  </si>
  <si>
    <t>Loan identifier number</t>
  </si>
  <si>
    <t>Identifikationsnummer Kredit</t>
  </si>
  <si>
    <t>Número de identificación del prestamo</t>
  </si>
  <si>
    <t>Individual Information on Substitute Assets</t>
  </si>
  <si>
    <t>Daten zu einzelnen Ersatzsicherheiten</t>
  </si>
  <si>
    <t>Información individual sobre el Colateral Adicional</t>
  </si>
  <si>
    <t>DEBTOR identifier number</t>
  </si>
  <si>
    <t>Identifikationsnummer SCHULDNER</t>
  </si>
  <si>
    <t>Número de identificación del DEUDOR</t>
  </si>
  <si>
    <t xml:space="preserve">Numeric reference number. </t>
  </si>
  <si>
    <t xml:space="preserve">Numerische Referenznummer. </t>
  </si>
  <si>
    <t>Número de Referencia interno</t>
  </si>
  <si>
    <t>Region in which DEBTOR is based</t>
  </si>
  <si>
    <t>If not relevant type "NA"</t>
  </si>
  <si>
    <t>"NA", falls nicht zutreffend</t>
  </si>
  <si>
    <t>Si no es relevante, escribir "n/a"</t>
  </si>
  <si>
    <t>Substitute Asset identifier number</t>
  </si>
  <si>
    <t>Identifikationsnummer Ersatzsicherheit</t>
  </si>
  <si>
    <t>Núm. De ifentificación aCtivo adicional</t>
  </si>
  <si>
    <t>Internal reference number</t>
  </si>
  <si>
    <t>Currency of Substitute Asset</t>
  </si>
  <si>
    <t>Substitute Asset balance - 1</t>
  </si>
  <si>
    <t>KREDITSALDO</t>
  </si>
  <si>
    <t>SALDO VIVO DEL PRÉSTAMO-1</t>
  </si>
  <si>
    <t>The current notional balance of the substitute asset in the DEFAULT CURRENCY (use the exchange rate as per CURRENCY CONVERSION as required)</t>
  </si>
  <si>
    <t>Der aktuelle Nominalwert der Ersatzsicherheiten in der STANDARDWÄHRUNG (falls nötig Wechselkurs gemäß der WÄHRUNGSUMRECHNUNG verwenden).</t>
  </si>
  <si>
    <t>Saldo actual de los activos de sustitución en DIVISA ESTÁNDAR (utilizar el tipo de cambio de acuerdo a la conversión de divisa requerida) .</t>
  </si>
  <si>
    <t>Substitute Asset balance - 2</t>
  </si>
  <si>
    <t>KREDITSALDO (in der STANDARDWÄHRUNG, vgl. WÄHRUNGSUMRECHUNG)</t>
  </si>
  <si>
    <t>SALDO VIVO DEL PRÉSTAMO-2</t>
  </si>
  <si>
    <t>The current notional balance of the substitute asset in the currency of the substitute asset</t>
  </si>
  <si>
    <t>Aktueller Nominalwert der Ersatzsicherheit in der Währung des Landes, in dem sich die Ersatzsicherheit befindet.</t>
  </si>
  <si>
    <t>Valor nominal actual del activo adicional en la divisa en que se encuentre denominado</t>
  </si>
  <si>
    <t>Maturity date (dd/mm/yyyy)</t>
  </si>
  <si>
    <t>Fälligkeitsdatum (TT/MM//JJJJ)</t>
  </si>
  <si>
    <t>Tipo de amortización del principal</t>
  </si>
  <si>
    <t>Interest rate, if Substitute Asset pays fixed rate (in %)</t>
  </si>
  <si>
    <t>Zinssatz, wenn Ersatzsicherheiten fest verzinst werden (in %)</t>
  </si>
  <si>
    <t>Tipo de interés, si el activo es a tipo de interés fijo (en %)</t>
  </si>
  <si>
    <t>Rate of interest after taking account of any applicable hedges.</t>
  </si>
  <si>
    <t>Zinssatz nach Berücksichtigung allfälliger Sicherungsgeschäfte.</t>
  </si>
  <si>
    <t>Después de aplicar derivados.</t>
  </si>
  <si>
    <t>Interest margin, if Substitute Asset pays floating rate (in %)</t>
  </si>
  <si>
    <t>Zinsmarge, wenn Ersatzsicherheiten variabel verzinst werden (in %)</t>
  </si>
  <si>
    <t>Margen, si el activo es a tipo de interés flotante (en bps)</t>
  </si>
  <si>
    <t>Margin over BASIS. Only applicable if Substitute Asset pays a floating rate (after taking account of applicable hedges).</t>
  </si>
  <si>
    <t>Margin über BASIS. Nur anwendbar, wenn der Ersatzwert einen variablen Zinssatz zahlt (unter Berücksichtigung der geltenden Absicherungen).</t>
  </si>
  <si>
    <t>Margen sobre el tipo de interés de referencia</t>
  </si>
  <si>
    <t>BASIS or reference rate (if Substitute Asset pays floating rate)</t>
  </si>
  <si>
    <t>BASIS oder Referenzzinssatz, wenn Ersatzsicherheiten variabel verzinst werden</t>
  </si>
  <si>
    <t>Tipo de interés de referencia (si el activo es a tipo flotante)</t>
  </si>
  <si>
    <t>Only applicable if Substitute Asset pays a floating rate (after taking account of applicable hedges).</t>
  </si>
  <si>
    <t>Nur anwendbar, wenn der Ersatzsicherheiten einen variablen Zinssatz zahlt (unter Berücksichtigung der geltenden Absicherungen).</t>
  </si>
  <si>
    <t>Repo-eligible with Central Bank</t>
  </si>
  <si>
    <t>Zugelassen für Repo-Geschäfte mit der Zentralbank</t>
  </si>
  <si>
    <t>Elegible en operaciones de REPO con BCE</t>
  </si>
  <si>
    <t>Substitute Asset performing</t>
  </si>
  <si>
    <t>Ordnungsgemäße Bedienung der Ersatzsicherheit</t>
  </si>
  <si>
    <t>Activos adicionales al corriente de pago</t>
  </si>
  <si>
    <t>In options below, BPI stands for Bankrutcy Proceeding Initiated, and Fce for Foreclosure</t>
  </si>
  <si>
    <t>En las opciones siguientes, "IC" significa inicio del procedimiento consursal, y "Ejec", ejecución</t>
  </si>
  <si>
    <t>Moody's Rating on Substitute Asset</t>
  </si>
  <si>
    <t>Ersatzsicherheit: Rating von Moody's</t>
  </si>
  <si>
    <t>Rating según Moody's</t>
  </si>
  <si>
    <t>S&amp;P Rating on Substitute Asset</t>
  </si>
  <si>
    <t>Ersatzsicherheit: Rating von S&amp;P</t>
  </si>
  <si>
    <t>Rating según S&amp;P</t>
  </si>
  <si>
    <t>Fitch Rating on Substitute Asset</t>
  </si>
  <si>
    <t>Ersatzsicherheit: Rating von Fitch</t>
  </si>
  <si>
    <t>Rating según Fitch</t>
  </si>
  <si>
    <t>Substitute Asset internal rating</t>
  </si>
  <si>
    <t>INTERNES RATING Ersatzsicherheit</t>
  </si>
  <si>
    <t>Rating Interno</t>
  </si>
  <si>
    <t>Moody's Rating on Substitute Asset Sponsor</t>
  </si>
  <si>
    <t>Moody's Rating Ersatzsicherheit Sponsor</t>
  </si>
  <si>
    <t>Rating según Moody's del garante</t>
  </si>
  <si>
    <t>S&amp;P Rating on Substitute Asset Sponsor</t>
  </si>
  <si>
    <t>S&amp;P Rating Ersatzsicherheit Sponsor</t>
  </si>
  <si>
    <t>Rating según S&amp;P del garante</t>
  </si>
  <si>
    <t>Fitch Rating on Substitute Asset Sponsor</t>
  </si>
  <si>
    <t>Fitch Rating Ersatzsicherheit Sponsor</t>
  </si>
  <si>
    <t>Rating según Fitch del garante</t>
  </si>
  <si>
    <t>Internal Substitute Asset Sponsor Rating</t>
  </si>
  <si>
    <t>INTERNES RATING Ersatzsicherheit Sponsor</t>
  </si>
  <si>
    <t>Rating interno del garante</t>
  </si>
  <si>
    <t>Is Substitute Asset also backed by a mortgage?</t>
  </si>
  <si>
    <t>Ist Ersatzsicherheit wiederum durch eine Hypothek besichert?</t>
  </si>
  <si>
    <t>¿Tiene garantía hipotecaria?</t>
  </si>
  <si>
    <t>Where Loan is also backed by a mortgage, what is LTV of Loan, and if no mortgage, then "NA"</t>
  </si>
  <si>
    <t>Wenn der Kredit durch eine Hypothek besichert ist, bitte die BELEIHUNGSQUOTE des Kredits angeben; wenn keine Hypothek vorhanden ist, tragen Sie "NA" ein.</t>
  </si>
  <si>
    <t>Si está garantizado por hipoteca, ¿cuál es el LTV?, y si no está"n/a"</t>
  </si>
  <si>
    <t>Hedging (1)</t>
  </si>
  <si>
    <t>Hedging(1)</t>
  </si>
  <si>
    <t>1. Overview - Hedging (1) page</t>
  </si>
  <si>
    <t xml:space="preserve">1. Überblick - Tabellenblatt Hedging (1) </t>
  </si>
  <si>
    <t>1. Resumen- Hoja Hedging(1)</t>
  </si>
  <si>
    <t>2. Swap by Swap - Hedging (2) page</t>
  </si>
  <si>
    <t xml:space="preserve">2. Einzelne Swaps - Tabellenblatt Heging(2) </t>
  </si>
  <si>
    <t>2. Información de Swaps- Hoja Hedging(2)</t>
  </si>
  <si>
    <t>3. Cashflow analysis - Hedging (3) page</t>
  </si>
  <si>
    <t xml:space="preserve">3. Cashflow-Analyse - Tabellenblatt Hedging(3) </t>
  </si>
  <si>
    <t>3. Análisis de Cashflows - Hoja Hedging(3)</t>
  </si>
  <si>
    <t>- Currency swaps as referred in columns R to AA should include only QUALIFYING SWAPs</t>
  </si>
  <si>
    <t>- Währungsswaps in den Spalten R bis AA umfassen nur QUALIFIZIERTE SWAPS.</t>
  </si>
  <si>
    <t>- all four tables below should be completed by all Issuers</t>
  </si>
  <si>
    <t>- bitte alle vier Tabellenausfüllen</t>
  </si>
  <si>
    <t>- Las cuatro tablas a continuación deben ser completadas por cualquier Emisor</t>
  </si>
  <si>
    <r>
      <t xml:space="preserve">- the amounts below should cover all </t>
    </r>
    <r>
      <rPr>
        <sz val="10"/>
        <rFont val="Arial"/>
        <family val="2"/>
      </rPr>
      <t>Assets</t>
    </r>
    <r>
      <rPr>
        <sz val="10"/>
        <rFont val="Arial"/>
        <family val="2"/>
      </rPr>
      <t xml:space="preserve">, i.e. include residential, commercial, public sector, and substitute collateral. </t>
    </r>
  </si>
  <si>
    <t>- die Salden sollten alle Vermögenswerte - d.h. Hypotheken für Wohnimmobilien, Hypotheken für gewerblich genutzte Immobilien, öffentliche Kredite und Ersatzsicherheiten - einbeziehen.</t>
  </si>
  <si>
    <t>- El análisis debe tener en cuenta toda las CLASES de ACTIVOS, es decir residenciales y comerciales para el caso de Cédulas Hipotecarias  y del Sector Público en caso de Cédulas Territoriales</t>
  </si>
  <si>
    <t>- exclude all caps and floors from the swap analysis below</t>
  </si>
  <si>
    <t>- bei der Swap-Analyse sind Caps und Floors nicht zu berücksichtigen</t>
  </si>
  <si>
    <t>-Exclúyanse los caps y floor del análisis de swap</t>
  </si>
  <si>
    <t>- data on this sheet should be entered in the currency of the assets or covered bonds entered in column "A"</t>
  </si>
  <si>
    <t>- alle Daten auf diesem Tabellenblatt sollten in der Währung der Darlehen oder Gedeckten Schuldverschreibungen in Spalte A eingegeben werden</t>
  </si>
  <si>
    <t>-La información en esta hoja debe rellenarse en la divisa de los activos o de los covered bonds que se han especificado en la columna "A"</t>
  </si>
  <si>
    <t>- for first 2 tables enter separate row for each different currency of a loan. Similarly, for tables 3 and 4 enter a separate row for each different currency in which CB issued in. Should the programme include more than 9 currencies, please report the main 8 currencies and aggregate the remainder in the ninth row.</t>
  </si>
  <si>
    <t>- ein Zeile pro Swapwährung eines Darlehens bzw. Schuldverschreibung (siehe auch Anmerkung in der Spalte "Swapwährung"). Sollte das Programm &gt;9 Währungen haben, bitte die acht Hauptwährungen angeben und weitere Währungen aggregieren.</t>
  </si>
  <si>
    <t>-En las dos primeras tablas rellenar una fila por divisa de los activos. De igual manera, para las tablas 3 y 4, rellenar cada fila por la divisa de los pasivos emitidos.</t>
  </si>
  <si>
    <t>Analysis of fixed rate Assets in the COVER POOL: Split by currency of Assets. Assets which reset within the next 12 months should be reported as floating.</t>
  </si>
  <si>
    <t>Analyse FESTVERZINSLICHER VERMÖGENSWERTE in der DECKUNGSMASSE: Aufteilung nach der Währung der Vermögenswerte. Festverzinsliche mit Zinsanpassungstermin in den naechsten 12 Monaten gelten als variabel und sollten in der unteren Tabelle angegeben werden.</t>
  </si>
  <si>
    <t>Análisis de los Activos a tipo fijo en la CARTERA SUBYACENTE: Distribuido por la divisa de los Activos</t>
  </si>
  <si>
    <t xml:space="preserve">Divisa  </t>
  </si>
  <si>
    <t>Currency of Assets in COVER POOL</t>
  </si>
  <si>
    <t>Währung der Vermögenswerte in der DECKUNGSMASSE</t>
  </si>
  <si>
    <t>Divisa de lso activos en la CARTERA SUBYACENTE</t>
  </si>
  <si>
    <t>LOAN BALANCE</t>
  </si>
  <si>
    <t>Valor</t>
  </si>
  <si>
    <t>LOAN BALANCE of Loans in COVER POOL</t>
  </si>
  <si>
    <t>KREDITSALDO der Kredite in der DECKUNGSMASSE</t>
  </si>
  <si>
    <t>Valor de los Préstamos en la CARTERA SUBYACENTE</t>
  </si>
  <si>
    <t>AVERAGE LIFE of Fixed period  (stressed)</t>
  </si>
  <si>
    <t>Durchschnittlicher Festlegungszeitraum (unter Stress)</t>
  </si>
  <si>
    <t>VIDA MEDIA del Periodo a Tipo Fijo (estresado)</t>
  </si>
  <si>
    <t>AVERAGE LIFE of fixed rate Assets considering the FIX PERIOD of these Assets, where FIX PERIOD should be calculated assuming no PREPAYMENT received on these Assets. In years (e.g. 4.3).</t>
  </si>
  <si>
    <t>DURCHSCHNITTLICHE RESTLAUFZEIT fest verzinslicher Vermögenswerte unter Berücksichtigung des Festlegungszeitraums der Zinsen für diese Vermögenswerte; die ZINSBINDUNGSFRIST ist unter der Annahme zu berechnen, dass auf diese Vermögenswerte keine VORZEITIGE ZAHLUNGEN erfolgen. In Jahren (z.B. 4.3).</t>
  </si>
  <si>
    <t>VIDA MEDIA de los activos a tipo fijo, considerando el PERIODO A TIPO FIJO de los Activos, calculando dicho periodo sin asumir un NIVEL DE PREPAGOS de los Activos. (por ejemplo: 4.3)</t>
  </si>
  <si>
    <t>AVERAGE LIFE of Fixed Period (expected)</t>
  </si>
  <si>
    <t>Durchschnittlicher Festlegungszeitraum (erwartet)</t>
  </si>
  <si>
    <t>VIDA MEDIA del Periodo a Tipo Fijo (esperado)</t>
  </si>
  <si>
    <t>AVERAGE LIFE of fixed rate Assets considering the FIX PERIOD of these Assets, where FIX PERIOD should be calculated assuming the ASSUMED PREPAYMENT LEVEL received on these Assets. In years (e.g. 3.9).</t>
  </si>
  <si>
    <t>DURCHSCHNITTLICHE RESTLAUFZEIT fest verzinslicher Vermögenswerte unter Berücksichtigung des Festlegungszeitraums der Zinsen für diese Vermögenswerte; die ZINSBINDUNGSFRIST ist unter der Annahme zu berechnen, dass die angenommenen VORZEITIGEN ZAHLUNGEN auf diese Vermögenswerte geleistet werden. In Jahren (z.B. 3.9).</t>
  </si>
  <si>
    <t>VIDA MEDIA de los activos a tipo fijo, considerando el PERIODO A TIPO FIJO de los Activos, calculando dicho periodo considerando el NIVEL DE PREPAGOS ASUMIDO de los Activos. (por ejemplo: 3.9)</t>
  </si>
  <si>
    <t>AVERAGE LIFE OF ASSETS (stressed)</t>
  </si>
  <si>
    <t>DURCHSCHNITTLICHE RESTLAUFZEIT DER VERMÖGENSWERTE (unter Stress)</t>
  </si>
  <si>
    <t>VIDA MEDIA DE LOS ACTIVOS (Estresada)</t>
  </si>
  <si>
    <t>AVERAGE LIFE OF ASSETS (here: fixed assets) calculated assuming no PREPAYMENT received on these Assets. In years (e.g. 15.1).</t>
  </si>
  <si>
    <t>DURCHSCHNITTLICHE RESTLAUFZEIT DER VERMÖGENSWERTE (hier: der festverzinslichen), berechnet unter der Annahme, dass keine VORZEITIGEN ZAHLUNGEN auf die Vermögenswerte geleistet werden. In Jahren (z.B. 15.1).</t>
  </si>
  <si>
    <t>VIDA MEDIA de los activos sin asumir un NIVEL DE PREPAGOS de los Activos. (por ejemplo: 15.1)</t>
  </si>
  <si>
    <t>AVERAGE LIFE OF ASSETS (expected)</t>
  </si>
  <si>
    <t>DURCHSCHNITTLICHE RESTLAUFZEIT DER VERMÖGENSWERTE (erwartet)</t>
  </si>
  <si>
    <t>VIDA MEDIA DE LOS ACTIVOS (Esperada)</t>
  </si>
  <si>
    <t>AVERAGE LIFE OF ASSETS (here: fixed assets) calculated assuming the ASSUMED PREPAYMENT LEVEL received on these Assets. In years (e.g. 12.9).</t>
  </si>
  <si>
    <t>DURCHSCHNITTLICHE RESTLAUFZEIT DER VERMÖGENSWERTE (hier: der festverzinslichen), berechnet unter der Annahme, dass die ANGENOMMENEN VORZEITIGEN ZAHLUNGEN auf die Vermögenswerte geleistet werden. In Jahren (z.B. 12.9).</t>
  </si>
  <si>
    <t>VIDA MEDIA de los activos considerando un NIVEL DE PREPAGOS ASUMIDO de los Activos. (por ejemplo: 12.9)</t>
  </si>
  <si>
    <t>Interest Rate pre swaps</t>
  </si>
  <si>
    <t>Zinssatz vor Swaps</t>
  </si>
  <si>
    <t>TIPO de Interés pre swaps</t>
  </si>
  <si>
    <t>WA interest rate on fixed rate assets in COVER POOL excluding the impact of swaps (in %)</t>
  </si>
  <si>
    <t>Gewichteter durchschnittlicher Zinssatz der fest verzinslichen Vermögenswerte der DECKUNGSMASSE ohne die Auswirkungen von Swaps (in %)</t>
  </si>
  <si>
    <t>Tipo de Interés Medio Ponderado de los préstamos a tipo fijo en la CARTERA SUBYACENTE excluyendo el impacto de swaps</t>
  </si>
  <si>
    <t>Interest Rate post swaps</t>
  </si>
  <si>
    <t>Zinssatz nach Swaps</t>
  </si>
  <si>
    <t>TIPO de Interés post swaps</t>
  </si>
  <si>
    <t>WA interest rate on fixed rate assets in COVER POOL including the impact of swaps (in %)</t>
  </si>
  <si>
    <t>Gewichteter durchschnittlicher Zinssatz der fest verzinslichen Vermögenswerte der DECKUNGSMASSE einschließlich der Auswirkungen von Swaps (in %)</t>
  </si>
  <si>
    <t>Tipo de Interés Medio Ponderado de los préstamos a tipo fijo en la CARTERA SUBYACENTE incluyendo el impacto de swaps (no aplicable para Cédulas españolas)</t>
  </si>
  <si>
    <t>Notional Interest % Swapped</t>
  </si>
  <si>
    <t>Geswapter Nominalzins in %</t>
  </si>
  <si>
    <t>Nocional cubierto por IRS en %</t>
  </si>
  <si>
    <t>Notional of interest rate swapped to floating as a %</t>
  </si>
  <si>
    <t>Nominaler Zinssatz, der gegen einen variablen Zinssatz geswapt wurde, in %.</t>
  </si>
  <si>
    <t>Nocional de IRS fijo-flotante en % (no aplicable para España)</t>
  </si>
  <si>
    <t>Average Interest Swap Life (stressed)</t>
  </si>
  <si>
    <t>DURCHSCHNITTLICHE RESTLAUFZEIT der Zinsswaps (unter Stress)</t>
  </si>
  <si>
    <t>Vida Media del IRS (estresado)</t>
  </si>
  <si>
    <t>AVERAGE LIFE of the interest rate swap to floating rate assuming no PREPAYMENT</t>
  </si>
  <si>
    <t>DURCHSCHNITTLICHE RESTLAUFZEIT des Zinsswaps zu einem variablen Zins unter der Annahme, dass keine VORZEITIGEN ZAHLUNGEN erfolgen</t>
  </si>
  <si>
    <t>VIDA MEDIA del IRS fijo-flotante asumiendo 0% prepagos (no aplicable para España)</t>
  </si>
  <si>
    <t>Notional Interest % Swapped (expected)</t>
  </si>
  <si>
    <t>Geswapter Nominalzins in % (erwartet)</t>
  </si>
  <si>
    <t>Nocional cubierto por IRS en % (esperado)</t>
  </si>
  <si>
    <t>Notional of interest rate swapped to floating as a %, assuming ASSUMED PREPAYMENT LEVEL on fixed rate Assets)</t>
  </si>
  <si>
    <t>Nominaler Zinssatz, der gegen einen variablen Zinssatz geswapt wurde, in %, unter der Annahme, dass ANGENOMMENE VORZEITIGE ZAHLUNGEN auf fest verzinsliche Vermögenswerte erfolgen</t>
  </si>
  <si>
    <t>Nocional de IRS fijo-flotante en %, considerando el NIVEL DE PREPAGOS ASUMIDO en los activos a tipo fijo (no aplicable para España)</t>
  </si>
  <si>
    <t>Average Interest Swap Life (expected)</t>
  </si>
  <si>
    <t>DURCHSCHNITTLICHE RESTLAUFZEIT der Zinsswaps (erwartet)</t>
  </si>
  <si>
    <t>Vida Media del IRS (esperado)</t>
  </si>
  <si>
    <t>AVERAGE LIFE of the interest rate swap to floating rate assuming ASSUMED PREPAYMENT LEVEL</t>
  </si>
  <si>
    <t>DURCHSCHNITTLICHE RESTLAUFZEIT des Zinsswaps zu einem variablen Zins unter der Annahme, dass ANGENOMMENE VORZEITIGE ZAHLUNGEN auf fest verzinsliche Vermögenswerte erfolgen</t>
  </si>
  <si>
    <t>VIDA MEDIA del IRS fijo-flotante considerando el NIVEL DE PREPAGOS ASUMIDO (no aplicable para España)</t>
  </si>
  <si>
    <t>Currency Swapped to</t>
  </si>
  <si>
    <t>Swapwährung</t>
  </si>
  <si>
    <t xml:space="preserve">DIVISA CUBIERTA </t>
  </si>
  <si>
    <t>This should exclude swaps which are entered into to remove currency risks on Covered Bonds issued in currencies other than the DEFAULT CURRENCY. These should be entered into the Covered Bond table below</t>
  </si>
  <si>
    <t>Hier sind keine Swaps einzutragen, die dazu dienen, Wechselkursrisiken für gedeckte Schuldverschreibungen zu eliminieren, die nicht in der STANDARDWÄHRUNG begeben wurde. Derartige Swaps sind in der unten stehenden Tabelle für gedeckte Schuldverschreibungen anzugeben</t>
  </si>
  <si>
    <t>En este campo se deben excluir los swaps (no aplicable para España) de divisas que cubren los bonos emitidos en otras diversas distintas que la DIVISA ESTÁNDAR. Este tipo de swaps se debe considerar en la tabla de Cédulas abajo.</t>
  </si>
  <si>
    <t>Notional Currency % Swapped</t>
  </si>
  <si>
    <t>Nominalwert der Währungsswaps in %</t>
  </si>
  <si>
    <t>Nocional cubierto por Swpas de divisas en %</t>
  </si>
  <si>
    <t>Notional of foreign currency swapped to default currency as a %</t>
  </si>
  <si>
    <t>Saldo en divisa extranjera convertido vía swap a divisa estándar como %</t>
  </si>
  <si>
    <t>Average Currency Swap Life (stressed)</t>
  </si>
  <si>
    <t>DURCHSCHNITTLICHE RESTLAUFZEIT der Währungsswaps (unter Stress)</t>
  </si>
  <si>
    <t>Vida Media del Swap de divisas(estresado)</t>
  </si>
  <si>
    <t>AVERAGE LIFE of the currency swap assuming no PREPAYMENT</t>
  </si>
  <si>
    <t>DURCHSCHNITTLICHE RESTLAUFZEIT des Währungsswaps unter der Annahme, dass keine VORZEITIGEN ZAHLUNGEN erfolgen</t>
  </si>
  <si>
    <t>VIDA MEDIA del swap asumiendo 0% prepagos (no aplicable para España)</t>
  </si>
  <si>
    <t>Notional Currency % Swapped (expected)</t>
  </si>
  <si>
    <t>Nominalwert der Währungsswaps in % (erwartet)</t>
  </si>
  <si>
    <t>Nocional cubierto por Swap de divisas en % (estresado)</t>
  </si>
  <si>
    <t>Notional of currency swapped %, assuming ASSUMED PREPAYMENT LEVEL on fixed rate Assets)</t>
  </si>
  <si>
    <t>Nominalwert der Währungsswaps in %, unter der Annahme, dass ANGENOMMENE VORZEITIGE ZAHLUNGEN auf fest verzinsliche Vermögenswerte erfolgen.</t>
  </si>
  <si>
    <t>Nocional del swap en %, considerando el NIVEL DE PREPAGOS ASUMIDO en los activos a tipo fijo (no aplicable para España)</t>
  </si>
  <si>
    <t>Average Currency Swap Life (expected)</t>
  </si>
  <si>
    <t>DURCHSCHNITTLICHE RESTLAUFZEIT der Währungsswaps (erwartet)</t>
  </si>
  <si>
    <t>AVERAGE LIFE of the currency swap assuming ASSUMED PREPAYMENT LEVEL</t>
  </si>
  <si>
    <t>DURCHSCHNITTLICHE RESTLAUFZEIT des Währungsswaps unter der Annahme, dass ANGENOMMENE VORZEITIGE ZAHLUNGEN erfolgen</t>
  </si>
  <si>
    <t>VIDA MEDIA del swap considerando el NIVEL DE PREPAGOS ASUMIDO (no aplicable para España)</t>
  </si>
  <si>
    <t>Analysis of floating rate Assets in the COVER POOL: Split by currency of assets. Inlcuding fixed rate loans, which reset within the next 12 months.</t>
  </si>
  <si>
    <t>Analyse VARIABEL VERZINSLICHER VERMÖGENSWERTE in der DECKUNGSMASSE: Aufteilung nach Währung der Vermögenswerte. Einschliesslich festverzinsliche mit Anpassungstermin innerhalb der naechsten 12 Monate.</t>
  </si>
  <si>
    <t>Análisis de los Activos a tipo variable en la CARTERA SUBYACENTE: Distribuido por la divisa de los Activos</t>
  </si>
  <si>
    <t>Divisa de lod activos en la CARTERA SUBYACENTE</t>
  </si>
  <si>
    <t>Wert</t>
  </si>
  <si>
    <t>Value of Loans in COVER POOL</t>
  </si>
  <si>
    <t>Wert der Kredite in der DECKUNGSMASSE</t>
  </si>
  <si>
    <t>AVERAGE LIFE OF ASSETS (here: floating rate assets) calculated assuming no PREPAYMENT received on these Assets. In years.</t>
  </si>
  <si>
    <t>DURCHSCHNITTLICHE RESTLAUFZEIT DER VERMÖGENSWERTE (hier: der variabel verzinslichen), berechnet unter der Annahme, dass keine VORZEITIGEN ZAHLUNGEN auf die Vermögenswerte geleistet werden. In Jahren.</t>
  </si>
  <si>
    <t>VIDA MEDIA de los activos sin asumir un NIVEL DE PREPAGOS de los Activos</t>
  </si>
  <si>
    <t>AVERAGE LIFE OF ASSETS (here: floating rate assets) calculated assuming the ASSUMED PREPAYMENT LEVEL received on these Assets. In years.</t>
  </si>
  <si>
    <t>DURCHSCHNITTLICHE RESTLAUFZEIT DER VERMÖGENSWERTE (hier: der variabel verzinslichen), berechnet unter der Annahme, dass die ANGENOMMENEN VORZEITIGEN ZAHLUNGEN auf die Vermögenswerte geleistet werden. In Jahren.</t>
  </si>
  <si>
    <t>VIDA MEDIA de los activos considerando un NIVEL DE PREPAGOS ASUMIDO de los Activos</t>
  </si>
  <si>
    <t>WA Interest Rate on Floating rate Assets in COVER POOL excluding the impact of swaps (in %)</t>
  </si>
  <si>
    <t>Gewichteter durchschnittlicher Zinssatz der variabel verzinslichen Vermögenswerte der DECKUNGSMASSE ohne die Auswirkungen von Swaps (in %)</t>
  </si>
  <si>
    <t>WA Interest Rate on Floating rate Assets in COVER POOL including the impact of swaps (in %)</t>
  </si>
  <si>
    <t>Gewichteter durchschnittlicher Zinssatz der variabel verzinslichen Vermögenswerte der DECKUNGSMASSE einschließlich der Auswirkungen von Swaps (in %)</t>
  </si>
  <si>
    <t>Notional of interest rate swapped to fixed rate as a %</t>
  </si>
  <si>
    <t>Nocional de IRS a fijo en % (no aplicable para España)</t>
  </si>
  <si>
    <t>AVERAGE LIFE of the interest rate swap to fixed rate assuming no PREPAYMENT</t>
  </si>
  <si>
    <t>DURCHSCHNITTLICHE RESTLAUFZEIT des Zinsswaps zu einem festen Zins unter der Annahme, dass keine VORZEITIGEN ZAHLUNGEN erfolgen</t>
  </si>
  <si>
    <t>VIDA MEDIA del IRS a fijo asumiendo 0% prepagos (no aplicable para España)</t>
  </si>
  <si>
    <t>Notional of interest rate swapped to fixed rate as a %, assuming ASSUMED PREPAYMENT LEVEL on floating rate Assets)</t>
  </si>
  <si>
    <t>Nominaler Zinssatz, der gegen einen festen Zinssatz geswapt wurde, in %, unter der Annahme, dass ANGENOMMENE VORZEITIGE ZAHLUNGEN auf variabel verzinsliche Vermögenswerte erfolgen</t>
  </si>
  <si>
    <t>Nocional de IRS a fijo en %, considerando el NIVEL DE PREPAGOS ASUMIDO en los activos a tipo fijo (no aplicable para España)</t>
  </si>
  <si>
    <t>AVERAGE LIFE of the interest rate swap to fixed rate assuming ASSUMED PREPAYMENT LEVEL</t>
  </si>
  <si>
    <t>DURCHSCHNITTLICHE RESTLAUFZEIT des Zinsswaps zu einem festen Zins unter der Annahme, dass ANGENOMMENE VORZEITIGE ZAHLUNGEN auf variabel verzinsliche Vermögenswerte erfolgen</t>
  </si>
  <si>
    <t>VIDA MEDIA del IRS a fijo considerando el NIVEL DE PREPAGOS ASUMIDO (no aplicable para España)</t>
  </si>
  <si>
    <t>Notional of currency swapped %, assuming ASSUMED PREPAYMENT LEVEL on fixed rate Assets</t>
  </si>
  <si>
    <t>Analysis of fixed rate Covered Bonds: Split by currency of Covered Bonds</t>
  </si>
  <si>
    <t>Analyse fest verzinslicher GEDECKTER SCHULDVERSCHREIBUNGEN: Aufteilung nach der Währung der Gedeckten Schuldverschreibungen</t>
  </si>
  <si>
    <t>Análisis de las Cédulas a tipo fijo: Distribuido por la divisa de emisión</t>
  </si>
  <si>
    <t>Currency of Covered Bonds</t>
  </si>
  <si>
    <t>Währung der Gedeckten Schuldverschreibungen</t>
  </si>
  <si>
    <t>Divisa de emisión de la Cédula</t>
  </si>
  <si>
    <t>Nominal amount of Covered Bonds issued</t>
  </si>
  <si>
    <t>Nominalwert der emittierten, Gedeckten Schuldverschreibungen</t>
  </si>
  <si>
    <t>Valor Nocional actual de la Cédula emitida</t>
  </si>
  <si>
    <t>AVERAGE LIFE (stressed)</t>
  </si>
  <si>
    <t>DURCHSCHNITTLICHE RESTLAUFZEIT (unter Stress)</t>
  </si>
  <si>
    <t>VIDA MEDIA DE LAS CÉDULAS (Estresada)</t>
  </si>
  <si>
    <t>AVERAGE LIFE of the fixed rate Covered Bonds assuming no PREPAYMENT and ignoring any variable period (for example in any extension period)</t>
  </si>
  <si>
    <t>DURCHSCHNITTLICHE RESTLAUFZEIT der fest verzinslichen Gedeckten Schuldverschreibungen, berechnet unter der Annahme, dass keine VORZEITIGEN ZAHLUNGEN  geleistet werden und ohne Berücksichtigung variabler Laufzeiten (z.B. Verlängerungen). In Jahren.</t>
  </si>
  <si>
    <t>VIDA MEDIA de las Cédulas a tipo fijosin asumir un NIVEL DE PREPAGOS de los Activos</t>
  </si>
  <si>
    <t>AVERAGE LIFE (expected)</t>
  </si>
  <si>
    <t>DURCHSCHNITTLICHE RESTLAUFZEIT (erwartet)</t>
  </si>
  <si>
    <t>VIDA MEDIA DE LOS CÉDULAS (Esperada)</t>
  </si>
  <si>
    <t>For pass through (non-bullet) bonds only. AVERAGE LIFE of the fixed rate Covered Bonds assuming ASSUMED PREPAYMENT LEVEL and ignoring any variable period (for example in any extension period). In years.</t>
  </si>
  <si>
    <t>Bei pass-through (nicht endfaellingen) SCHULDVERSCHREIBUNGEN: DURCHSCHNITTLICHE RESTLAUFZEIT der fest verzinslichen SCHULDVERSCHREIBUNGEN, berechnet unter der Annahme, dass die ANGENOMMENEN VORZEITIGEN ZAHLUNGEN geleistet werden und ohne Berücksichtigung variabler Laufzeiten (z.B. Verlängerungen)</t>
  </si>
  <si>
    <t>VIDA MEDIA de los activos considerando un NIVEL DE PREPAGOS ASUMIDO de los Activos (No aplicable en España)</t>
  </si>
  <si>
    <t>This should only include swaps which are entered into to remove currency risks on liabilities issued in currencies other than the DEFAULT CURRENCY.</t>
  </si>
  <si>
    <t>Hier sind nur Swaps einzutragen, die Wechselkursrisiken für Schuldverschreibungen eliminieren sollen, die nicht in der STANDARDWÄHRUNG emittiert wurden.</t>
  </si>
  <si>
    <t xml:space="preserve">En este campo se deben incluir los swaps (no aplicable para España) de divisas que cubren los bonos emitidos en otras diversas distintas que la DIVISA ESTÁNDAR. </t>
  </si>
  <si>
    <t>For pass through (non-bullet) bonds only. Notional of currency swapped %, assuming ASSUMED PREPAYMENT LEVEL on fixed rate Assets</t>
  </si>
  <si>
    <t>Bei pass-through (nicht endfaellingen) SCHULDVERSCHREIBUNGEN:  Nominalwert der Währungsswaps in %, unter der Annahme, dass ANGENOMMENE VORZEITIGE ZAHLUNGEN auf fest verzinsliche Vermögenswerte erfolgen.</t>
  </si>
  <si>
    <t>For pass through (non-bullet) bonds only. AVERAGE LIFE of the currency swap assuming ASSUMED PREPAYMENT LEVEL</t>
  </si>
  <si>
    <t>Bei pass-through (nicht endfaellingen) SCHULDVERSCHREIBUNGEN: DURCHSCHNITTLICHE RESTLAUFZEIT des Währungsswaps unter der Annahme, dass ANGENOMMENE VORZEITIGE ZAHLUNGEN erfolgen</t>
  </si>
  <si>
    <t>LOAN BALANCE in DEFAULT CURRENCY</t>
  </si>
  <si>
    <t>KREDITSALDO  in STANDARDWÄHRUNG</t>
  </si>
  <si>
    <t>Valor en la DIVISA ESTÁNDAR</t>
  </si>
  <si>
    <t>LOAN BALANCE of Loans in COVER POOL in DEFAULT CURRENCY (use spot rate for currency conversion)</t>
  </si>
  <si>
    <t>KREDITSALDO der Kredite in der DECKUNGSMASSE in  der STANDARDWÄHRUNG (zur WÄHRUNGSUMRECHUNG Spot Rate am BERICHTSDATUM heranziehen)</t>
  </si>
  <si>
    <t>Valor de los Préstamos en la DIVISA ESTÁNDAR</t>
  </si>
  <si>
    <t>Analysis of floating rate Covered Bonds: Split by currency of Covered Bonds</t>
  </si>
  <si>
    <t>Analyse variabel verzinslicher GEDECKTER SCHULDVERSCHREIBUNGEN: Aufteilung nach Währung der GEDECKTEN SCHULDVERSCHREIBUNGEN</t>
  </si>
  <si>
    <t>Análisis de las Cédulas a tipo variable: Distribuido por la divisa de emisión</t>
  </si>
  <si>
    <t>AVERAGE LIFE of the floating rate Covered Bonds assuming no PREPAYMENT. In years.</t>
  </si>
  <si>
    <t>DURCHSCHNITTLICHE RESTLAUFZEIT der variabel verzinslichen Gedeckten Schuldverschreibungen, berechnet unter der Annahme, dass keine VORZEITIGE ZAHLUNGEN  geleistet werden. In Jahren.</t>
  </si>
  <si>
    <t>VIDA MEDIA de las Cédulas sin asumir un NIVEL DE PREPAGOS de los Activos</t>
  </si>
  <si>
    <t>For pass through (non-bullet) bonds only. AVERAGE LIFE of the floating rate Covered Bonds assuming ASSUMED PREPAYMENT LEVEL. In years.</t>
  </si>
  <si>
    <t>Bei pass-through (nicht endfaellingen) SCHULDVERSCHREIBUNGEN:  DURCHSCHNITTLICHE RESTLAUFZEIT der variabel verzinslichen Schuldverschreibungen, berechnet unter der Annahme, dass die ANGENOMMENEN VORZEITIGEN ZAHLUNGEN geleistet werden. In Jahren.</t>
  </si>
  <si>
    <t>VIDA MEDIA de las Cédulas variables considerando un NIVEL DE PREPAGOS ASUMIDO de los Activos (No aplicable en España)</t>
  </si>
  <si>
    <t>DURCHSCHNITTLICHE RESTLAUFZEIT des Währungsswaps unter der Annahme, dass keine VORZEITIGE ZAHLUNGEN erfolgen</t>
  </si>
  <si>
    <t>Hedging (2)</t>
  </si>
  <si>
    <t>Hedging (2) No aplicable a España</t>
  </si>
  <si>
    <t xml:space="preserve">1. Überblick - Tabellenblatt Hedging(1) </t>
  </si>
  <si>
    <t xml:space="preserve">2. Einzelne Swaps - Tabellenblatt Hedging(2) </t>
  </si>
  <si>
    <t>- All Issuers are requested to complete this section. If no swaps are registered in the cover pool, please enter "No swaps" in cell J19.</t>
  </si>
  <si>
    <t>'- Alle Emittenten werden gebeten, Daten in diesem Tabellenblatt anzugeben. Falls keine Swaps im Cover Pool registriert sind, bitte "No swaps" in Zelle J19 eintragen.</t>
  </si>
  <si>
    <t>- Sólo es de aplicación para emisores españoles si los swaps se consideran como parte de la cartera subyacente. Si no se ha entrado en ningún Swap, por favor especificar “No swaps” en la celda J19.</t>
  </si>
  <si>
    <t>Swaps</t>
  </si>
  <si>
    <t>Swap number</t>
  </si>
  <si>
    <t>Swapnummer</t>
  </si>
  <si>
    <t>Número de Swap</t>
  </si>
  <si>
    <t>Issuer Pays - Fix/Float</t>
  </si>
  <si>
    <t>Emittent zahlt - Fest/Variabel</t>
  </si>
  <si>
    <t>Emisor Paga – Fijo/Variable</t>
  </si>
  <si>
    <t>Issuer pays fixed rate or floating rate</t>
  </si>
  <si>
    <t>Emittent zahlt festen oder variablen Zinssatz</t>
  </si>
  <si>
    <t>Emisor paga tipo fijo o variable</t>
  </si>
  <si>
    <t>Issuer Pays - Rate/Margin</t>
  </si>
  <si>
    <t>Emittent zahlt - Rate/Spanne</t>
  </si>
  <si>
    <t>Emisor Paga – Tipo/Margen</t>
  </si>
  <si>
    <t>Use % if issuer pays fixed rate, and margin if issuer pays floating rate. The margin should be in relation to Euribor (or equivalent)</t>
  </si>
  <si>
    <t>In % falls der Emittent eine feste Verzinsung zahlt und Spanne bei variabler Verzinsung. Die Spanne sollte in Relation zu Euribor (oder Equivalent) sein.</t>
  </si>
  <si>
    <t>Utilizar % si el emisor paga tipo fijo, y margen en caso que el emisor pague tipo variable. El margen debe ser en relación al Euribor (o equivalente)</t>
  </si>
  <si>
    <t>Issuer Pays - Basis</t>
  </si>
  <si>
    <t>Emittent zahlt - Basis</t>
  </si>
  <si>
    <t>Emisor Paga – Base</t>
  </si>
  <si>
    <t>Only applicable if issuer pays a floating rate. Example: Euribor 3 months.</t>
  </si>
  <si>
    <t>Nur anwendbar, wenn der Emittent einen variablen Zinssatz zahlt. Beispiel: Euribor 3 Monate. Falls mehrere, bitte "multiple" angeben.</t>
  </si>
  <si>
    <t>Solo aplica, si el emisor paga tipo variable. Ejemplo: Euribor 3M</t>
  </si>
  <si>
    <t>Counterparty Pays - Fix/Float</t>
  </si>
  <si>
    <t>Gegenpartei zahlt - Fest/Variabel</t>
  </si>
  <si>
    <t>Contrapartida Paga – Fijo/Variable</t>
  </si>
  <si>
    <t>Counterparty pays fixed rate or floating rate</t>
  </si>
  <si>
    <t>Gegenpartei zahlt festen oder variablen Zinssatz</t>
  </si>
  <si>
    <t>Contrapartida paga tipo fijo o variable</t>
  </si>
  <si>
    <t>Counterparty Pays - Rate/Margin</t>
  </si>
  <si>
    <t>Gegenpartei zahlt - Rate/Spanne</t>
  </si>
  <si>
    <t>Contrapartida Paga – Tipo/Margen</t>
  </si>
  <si>
    <t>Use % if counterparty pays fixed rate, and margin if counterparty pays floating rate. The margin should be in relation to Euribor (or equivalent)</t>
  </si>
  <si>
    <t>In % falls die Gegenpartei eine feste Verzinsung zahlt und Spanne bei variabler Verzinsung. Die Spanne sollte in Relation zu Euribor (oder Equivalent) sein.</t>
  </si>
  <si>
    <t>Utilizar % si la contrapartida paga tipo fijo, y margen en caso que la contrapartida pague tipo variable. El margen debe ser en relación al Euribor (o equivalente)</t>
  </si>
  <si>
    <t>Counterparty Pays - Basis</t>
  </si>
  <si>
    <t>Gegenpartei zahlt - Basis</t>
  </si>
  <si>
    <t>Contrapartida Paga – Base</t>
  </si>
  <si>
    <t>Only applicable if counterparty pays a floating rate. Example: Euribor 3 months. If more than one, state "multiple"</t>
  </si>
  <si>
    <t>Nur anwendbar, wenn die Gegenpartei einen variablen Zinssatz zahlt. Beispiel: Euribor 3 Monate. Falls mehrere, bitte "multiple" angeben.</t>
  </si>
  <si>
    <t>Solo aplica la contrapartida paga tipo variable. Ejemplo: Euribor 3M. En caso que se más de uno, reportar como “multiple”</t>
  </si>
  <si>
    <t>Currency Paid By Issuer</t>
  </si>
  <si>
    <t>Vom Emittent gezahlte Währung</t>
  </si>
  <si>
    <t>Divisa pagada por el Emisor</t>
  </si>
  <si>
    <t>Currency paid by the issuer</t>
  </si>
  <si>
    <t>Vom Emittenten gezahlte Währung</t>
  </si>
  <si>
    <t>Divisa pagada por el emisor</t>
  </si>
  <si>
    <t>Currency Paid By Counterparty</t>
  </si>
  <si>
    <t>Von der Gegenpartei gezahlte Währung</t>
  </si>
  <si>
    <t>Divisa pagada por la Contrapartida</t>
  </si>
  <si>
    <t>Currency paid by the counterparty</t>
  </si>
  <si>
    <t>Divisa pagada por la contrapartida</t>
  </si>
  <si>
    <t>Current Notional</t>
  </si>
  <si>
    <t>Aktueller Nominalwert</t>
  </si>
  <si>
    <t>Saldo Actual</t>
  </si>
  <si>
    <t>Notional of swap at REPORT DATE. For currency swaps, enter amount in currency paid by the counterparty.</t>
  </si>
  <si>
    <t>Nominalwert des Swaps am BERICHTSSTICHTAG. Für Wechselkurs-Swaps bitte den Betrag der von der Gegenpartei gezahlten Währung angeben.</t>
  </si>
  <si>
    <t>Saldo del Swap a FECHA DEL INFORME. Para Swaps sobre divisas, reportar en la divisa pagada por la contrapartida.</t>
  </si>
  <si>
    <t>Swap Exchange Rate</t>
  </si>
  <si>
    <t>Swap Wechselkurs</t>
  </si>
  <si>
    <t>Tipo de Cambio utilizado en el Swap</t>
  </si>
  <si>
    <t>Exchange rate under the swap, expressed as the number of units of currency paid by the issuer for one unit of the currency paid by the counterparty. If the currencies are the same, enter "1".</t>
  </si>
  <si>
    <t>Devisenkurs im Rahmen des Swaps, ausgedrückt als die Anzahl der Währungseinheiten, die der Emittent für eine Einheit der, von der Gegenpartei bezahlten, Währung gezahlt hat. Falls die Währungen identisch sind, bitte "1" eintragen.</t>
  </si>
  <si>
    <t>Tipo de cambio acordado en el Swap, expresado como el número de unidades de la divisa pagada por el emisor por una unidad de la divisa pagada por la contrapartida. Si ambas divisas son las mismas, reportar “1”.</t>
  </si>
  <si>
    <t>Termination Currency</t>
  </si>
  <si>
    <t>Kündigungs-Währung</t>
  </si>
  <si>
    <t>Divisa de Finalización</t>
  </si>
  <si>
    <t>Currency of any early termination payment under the swap</t>
  </si>
  <si>
    <t>Währung einer vorzeitigen Kündigungszahlung aus dem Swaps</t>
  </si>
  <si>
    <t>Divisa de una cancelación anticipada estipulada en el Swap.</t>
  </si>
  <si>
    <t>Termination Notional</t>
  </si>
  <si>
    <t>Kündigungs-Nominalwert</t>
  </si>
  <si>
    <t>Saldo de Finalización</t>
  </si>
  <si>
    <t>Notional of swap expected at its scheduled termination date (in the currency paid by the counterparty)</t>
  </si>
  <si>
    <t xml:space="preserve">Erwarteter Nominalwert des Swaps zum geplanten Kündigungstermin (in der, von der Gegenpartei gezahlten, Währung) . </t>
  </si>
  <si>
    <t>Saldo esperado del Swap en su fecha de finalización (en la divisa pagada por la contrapartida).</t>
  </si>
  <si>
    <t>Termination Date (dd/mm/yyyy)</t>
  </si>
  <si>
    <t>Kündigungs-Datum (TT/MM/JJJJ)</t>
  </si>
  <si>
    <t>Fecha de Finalización</t>
  </si>
  <si>
    <t>Scheduled termination date under the swap</t>
  </si>
  <si>
    <t>Geplantes Kündigungsdatum im Rahmen des Swaps.</t>
  </si>
  <si>
    <t>Fecha de finalización programada del Swap</t>
  </si>
  <si>
    <t>Swap Profile</t>
  </si>
  <si>
    <t>Swap-Profil</t>
  </si>
  <si>
    <t>Perfil del Swap</t>
  </si>
  <si>
    <t>Profile of swap</t>
  </si>
  <si>
    <t>VIDA MEDIA (estresado)</t>
  </si>
  <si>
    <t>AVERAGE LIFE of swap assuming no PREPAYMENT on Assets</t>
  </si>
  <si>
    <t>DURCHSCHNITTLICHE RESTLAUFZEIT des Swaps unter der Annahme, dass keine VORZEITIGEN ZAHLUNGEN auf die Vermögenswerte erfolgen</t>
  </si>
  <si>
    <t>VIDA MEDIA del Swap sin asumir ningún PREPAGO</t>
  </si>
  <si>
    <t>VIDA MEDIA (esperado)</t>
  </si>
  <si>
    <t>For amortising swap, AVERAGE LIFE of swap assuming Assets follow ASSUMED PREPAYMENT LEVEL. For non-amortising swap this should be "NA"</t>
  </si>
  <si>
    <t>Bei einem amortisierenden Swap die DURCHSCHNITTLICHE RESTLAUFZEIT des Swaps unter der Annahme, dass die ANGENOMMENEN VORZEITIGEN ZAHLUNGEN geleistet werden. Bei einem nicht amortisierenden Swap geben Sie "NA" ein</t>
  </si>
  <si>
    <t>VIDA MEDIA del swap asumiendo PREPAGOS ESPERADOS. Para swap que no amortizan debe reportarse "n/a"</t>
  </si>
  <si>
    <t>Swap Counterparty</t>
  </si>
  <si>
    <t>Swap-Kontrahent</t>
  </si>
  <si>
    <t>Contrapartida del Swap</t>
  </si>
  <si>
    <t>Full name of swap counterparty</t>
  </si>
  <si>
    <t>Vollständiger Name des Swap-Kontrahenten</t>
  </si>
  <si>
    <t>Nombre completo de la Contrapartida del Swap</t>
  </si>
  <si>
    <t>Moody's Rating</t>
  </si>
  <si>
    <t>Rating von Moody's</t>
  </si>
  <si>
    <t>Rating de Moody's</t>
  </si>
  <si>
    <t>Swap counterparty Moody's rating</t>
  </si>
  <si>
    <t>Rating von Moody's für den Swap-Kontrahenten</t>
  </si>
  <si>
    <t>Rating de Moody's de la Contrapartida del Swap</t>
  </si>
  <si>
    <t>S&amp;P Rating</t>
  </si>
  <si>
    <t>Rating von S&amp;P</t>
  </si>
  <si>
    <t>Rating de S&amp;P</t>
  </si>
  <si>
    <t>Swap counterparty S&amp;P rating</t>
  </si>
  <si>
    <t>Rating von S&amp;P für den Swap-Kontrahenten</t>
  </si>
  <si>
    <t>Rating de S&amp;P de la Contrapartida del Swap</t>
  </si>
  <si>
    <t>Fitch Rating</t>
  </si>
  <si>
    <t>Rating von Fitch</t>
  </si>
  <si>
    <t>Rating de Fitch</t>
  </si>
  <si>
    <t>Swap counterparty Fitch rating</t>
  </si>
  <si>
    <t>Rating von Fitch für den Swap-Kontrahenten</t>
  </si>
  <si>
    <t>Rating de Fitch de la Contrapartida del Swap</t>
  </si>
  <si>
    <t>ISSUER DEFAULT</t>
  </si>
  <si>
    <t>ZAHLUNGSAUSFALL DES EMITTENTEN</t>
  </si>
  <si>
    <t>DEFAULT DEL EMISOR</t>
  </si>
  <si>
    <t>Does swap survive ISSUER DEFAULT?</t>
  </si>
  <si>
    <t>Besteht der Swap bei einem ZAHLUNGSAUSFALL DES EMITTENTEN weiter?</t>
  </si>
  <si>
    <t>¿Continúa el swap luego de que el emisor haga DEFAULT?</t>
  </si>
  <si>
    <t>Collateral Posting - Issuer</t>
  </si>
  <si>
    <t>Hinterlegung von Sicherheiten - Emittent</t>
  </si>
  <si>
    <t>Posteo de Colateral por parte del Emisor</t>
  </si>
  <si>
    <t>Do any collateral posting requirements apply to the issuer? Ignore the return of collateral posted by the swap counterparty.</t>
  </si>
  <si>
    <t>Gilt für den Emittenten eine Verpflichtung zur Hinterlegung von Sicherheiten? Ignorieren Sie die Rückgabe der vom Swap-Kontrahenten gestellten Sicherheiten.</t>
  </si>
  <si>
    <t>¿Debe el emisor postear colateral?</t>
  </si>
  <si>
    <t>Collateral Posting - Counterparty</t>
  </si>
  <si>
    <t>Hinterlegung von Sicherheiten - Gegenpartei</t>
  </si>
  <si>
    <t>Posteo de Colateral por parte de la Contrapartida</t>
  </si>
  <si>
    <t>Do any collateral posting requirements apply to the swap counterparty? Contractual provisions only - ignore collateral posting under EMIR.</t>
  </si>
  <si>
    <t>Gilt für die Swap-Gegenpartei eine Anforderung zur Hinterlegung von Sicherheiten? Nur vertragliche Bestimmungen - Hinterlegung von Sicherheiten unter EMIR ignorieren.</t>
  </si>
  <si>
    <t>¿Debe la contrapartida del swap postear colateral?</t>
  </si>
  <si>
    <t>Counterparty Posting - Rating Triggers</t>
  </si>
  <si>
    <t>Kontrahentenbuchung - Rating-Trigger</t>
  </si>
  <si>
    <t>Rating posteo de colateral por parte de la Contrapartida</t>
  </si>
  <si>
    <t>Do particular collateral requirements apply to the counterparty if it no longer has a minimum credit rating or assessment? If so, enter the minimum rating/assessment below.</t>
  </si>
  <si>
    <t>Bestehen für die Gegenpartei besondere Anforderungen an die Sicherheiten, wenn sie keine Mindestrating oder -bewertung mehr aufweist? Wenn ja, geben Sie unten die Mindestbewertung ein</t>
  </si>
  <si>
    <t>¿A partir de qué rating de Moody's debe la contrapartida postear colateral?</t>
  </si>
  <si>
    <t>Counterparty Replacement - Rating Triggers</t>
  </si>
  <si>
    <t>Ersatz der Gegenpartei</t>
  </si>
  <si>
    <t>Requerimiento de rating</t>
  </si>
  <si>
    <t>Do transfer requirements apply to the counterparty if it no longer has a minimum credit rating or assessment? If so, enter the minimum rating/assessment below.</t>
  </si>
  <si>
    <t>Treten für die Gegenpartei Transferanforderungen auf, wenn sie keine Mindestbonität oder -bewertung mehr aufweist? Wenn ja, geben Sie unten die Mindestbewertung ein.</t>
  </si>
  <si>
    <t>¿Es necesario que la contrapartida tenga cierto rating?</t>
  </si>
  <si>
    <t>QUALIFYING SWAP?</t>
  </si>
  <si>
    <t>QUALIFIZIERTER SWAP?</t>
  </si>
  <si>
    <t>¿CALIFICA EL SWAP?</t>
  </si>
  <si>
    <t>Is the swap a QUALIFYING SWAP?</t>
  </si>
  <si>
    <t>Handelt es sich bei dem Swap um einen QUALIFIZIERTEN SWAP?</t>
  </si>
  <si>
    <t>¿Cumple el swap con las condiciones para ser ELEGIBLE?</t>
  </si>
  <si>
    <t>Hedging (3)</t>
  </si>
  <si>
    <t>- below are 2 tables to be completed, labelled 3.1 and 3.2</t>
  </si>
  <si>
    <t>- die folgenden 2 Tabellen mit den Nummern 3.1 und 3.2 sind auszufüllen.</t>
  </si>
  <si>
    <t>- A continuación se muestran 2 tablas para ser rellenadas, numeradas 3.1. y 3.2.</t>
  </si>
  <si>
    <t>- all Issuers should complete the historic data fields for the historic 4 quarters in 3.1 and 3.2 (this data will only be available after close). All  Issuers are requested to complete all fields of all relevant tables.</t>
  </si>
  <si>
    <t>- alle Emittenten sollten die Felder für die historischen Daten aus den letzten vier Quartalen in den Tabellen 3.1 und 3.2 ausfüllen (die Daten sind erst nach Closing verfügbar). Alle Emittenten sollten alle Felder und alle relevanten Tabellen ausfüllen.</t>
  </si>
  <si>
    <t xml:space="preserve">- Todos los emisores deben completar los campos de datos históricos de los últimos 4 trimestres en 3.1. y 3.2.(esta información sólo es disponible tras la primera emisión). </t>
  </si>
  <si>
    <t>- all data should be entered in the DEFAULT CURRENCY.</t>
  </si>
  <si>
    <t>- alle Daten sind in der STANDARDWÄHRUNG einzutragen.</t>
  </si>
  <si>
    <t>-Todos los datos deben ser en la Divisa Estándar</t>
  </si>
  <si>
    <t>- under tables 3.1, cash-flows covered by swaps should be calculated using the foreign exchange rate given by those Swaps. Any remaining cash-flows not covered by Swaps (e.g. (i) cash flows arising from assets or in respect of Covered Bonds, after the maturity date of any applicable Swaps, (ii) cash flows arising from assets or in respect of Covered Bonds which are otherwise not covered by any Swaps) should be calculated using the relevant foreign exchange rate at the REPORT DATE. Under 3.2, where it is assumed that Swaps should be ignored, the cash-flows should be calculated using the relevant foreign exchange rate at the REPORT DATE.</t>
  </si>
  <si>
    <t xml:space="preserve">- unter 3.1. sollten die Cash Flows der Swaps mittels der durch diese Swaps vorgegebenen Umrechnungskurse berechnet werden. Weitere Cash Flows, die nicht durch diese Swaps abgedeckt sind (z.B. (i) Cash Flows aus Darlehen oder GEDECKTEN SCHULDVERSCHREIBUNGEN, deren Fälligkeit nach der Fälligkeit der Swaps ist, (ii) Cash Flows aus Darlehen oder GEDECKTEN SCHULDVERSCHREIBUNGEN, die nicht durch irgendwelche SWAPs abgesichert sind), sollten mittels der entsprechenden Devisenkurs am BERICHTSDATUM berechnet werden.  Unter 3.3 - alle SWAPS werden hier ignoriert - sollten alle Cash Flows mittels der entsprechenden Devisenkurs am BERICHTSDATUM berechnet werden.  </t>
  </si>
  <si>
    <t>- La conversión de la divisa, debe realizarse al tipo oficial de cambio en la FECHA DEL INFORME. En el caso español, no debe tenerse en cuenta ninguna consideración de las swaps ya que no se consideran parte de la cartera subyacente.</t>
  </si>
  <si>
    <t>- the amounts received by the Issuer should be calculated after taking into account all relevant costs (e.g. swap counterparty and servicing costs). If these are not included below these should be communicated to Moody's.</t>
  </si>
  <si>
    <t>- die vom Emittenten erhaltenen Beträge sind nach Berücksichtigung aller relevanten Kosten (z.B. Kosten für den Swap-Kontrahenten und die Schuldenbedienung) zu berechnen. Wenn diese Kosten nicht unten berücksichtigt werden, ist Moody's davon sowie von ihrer Höhe in Kenntnis zu setzen.</t>
  </si>
  <si>
    <t>- Las cantidades recibidas por el Emisor deben considerarse netas de costes (p.ej. Costes de administración). En caso contrario se deberá comunicar a Moody's que no se han tenido en consideración.</t>
  </si>
  <si>
    <t>- for historic fields use actual cashflows received in these periods - do not estimate historic cashflows from forward rates.</t>
  </si>
  <si>
    <t>- bei Feldern zu historischen Daten sind die tatsächlich in diesem Zeitraum angefallenen Cashflows zu verwenden, keine Schätzungen historischer Cashflows auf der Grundlage der Forward-Sätze.</t>
  </si>
  <si>
    <t>- Los datos históricos pasados no deben ser estimados p.ej. utilizando las curvas forward, sino considerando el dinero realmente recibido</t>
  </si>
  <si>
    <t>- for the calculation of interest payments, if a fixed asset has reached its reset date, it shall be treated as floating asset from that date on. To determine the interest payment the respective forward rate should be used topped up with the weighted average margin for floating rate assets. Use weighted average margin of fixed rate assets, if no weighted average margin for floating rate assets is available, or it cannot be used for any reason - please let Moody's know the reason. For floating rate assets, the forward rate shall be used until maturity of the asset, plus the actual margin of the asset.</t>
  </si>
  <si>
    <t>- Zur Berechnung von Zinszahlungen sind fest verzinsliche Vermögenswerte ab dem Zinsanpassungstermin wie variabel verzinsliche zu behandeln. Zur Festlegung der Zinszahlung sollte der jeweilige Forward Satz verwendet werden, zuzueglich der gewichteten durchschnittlichen Marge für variabel verzinsliche Vermögenswerte. Ist die gewichtete durchschnittlichen Marge für variabel verzinsliche Vermögenswerte nicht verfügbar, oder ist aus einem anderen Grund (bitte nennen) nicht heranziehbar, kann die die gewichtete durchschnittlichen Marge für fest verzinsliche Vermögenswerte benutzt werden. Für variabel verzinsliche Vermögenswerte bitte den Forward Satz bis zur Fälligkeit des Vermögenswertes benutzen, plus der entsprechenden Marge des Vermögenswertes.</t>
  </si>
  <si>
    <t>- A la hora de calcular los pagos de intereses, si en la proyección el préstamo a tipo fijo se convierte en variable, debe ser tratado como variable a partir de dicha fecha. Para determinar el tipo de interés se deberá utilizar la curva forward apropiada teniendo en cuenta el margen ponderado de los activos.</t>
  </si>
  <si>
    <t>Please follow hyperlinks below to reach the relevant tables and click on the activated cell to come back:</t>
  </si>
  <si>
    <t>Zur Dateneingabe klicken Sie auf die untenstehenden Hyperlinks.</t>
  </si>
  <si>
    <t>Siga los hyperlinks para ir a las tablas y haga click en la celda con el título para volver atrás</t>
  </si>
  <si>
    <t>3.1 Cashflows calculated taking into account Swaps and assuming no PREPAYMENT</t>
  </si>
  <si>
    <t>3.1 Cashflows unter Berücksichtung Swaps und unter der Annahme, dass keine VORZEITIGEN ZAHLUNGEN geleistet werden</t>
  </si>
  <si>
    <t>3.1. Cashflows calculados teniendo en cuenta Swaps sin asumir PREPAGOS</t>
  </si>
  <si>
    <t>3.2 Cashflows calculated taking into account QUALIFYING SWAPS and using the ASSUMED PREPAYMENT LEVEL</t>
  </si>
  <si>
    <t>3.2 Cashflows unter Berücksichtigung QUALIFIZIERTER SWAPS und unter der Annahme, dass die ANGENOMMENEN VORZEITIGEN ZAHLUNGEN geleistet werden</t>
  </si>
  <si>
    <t>3.2. Cashflows calculados teniendo en cuenta Swaps cualificados considerando el NIVEL DE PREPAGOS ASUMIDO</t>
  </si>
  <si>
    <t>3.2 Cashflows calculated ignoring all swaps and assuming no PREPAYMENTS</t>
  </si>
  <si>
    <t>3.2 Cashflows ohne Berücksichtung von Swaps und unter der Annahme, dass keine VORZEITIGEN ZAHLUNGEN geleistet werden</t>
  </si>
  <si>
    <t>3.2. Cashflows calculados ignorando Swaps y  sin asumir PREPAGOS</t>
  </si>
  <si>
    <t>3.4 Cashflows calculated ignoring all swaps and assuming ASSUMED PREPAYMENT LEVEL</t>
  </si>
  <si>
    <t>3.4 Cashflows ohne Berücksichtigung von Swaps und unter der Annahme, dass die ANGENOMMENEN VORZEITIGEN ZAHLUNGEN geleistet werden</t>
  </si>
  <si>
    <t>3.4. Cashflows calculados ignorando Swaps y considerando el NIVEL DE PREPAGOS ASUMIDO</t>
  </si>
  <si>
    <t>3.1 Cashflows calculated taking into account QUALIFYING SWAPS and assuming no PREPAYMENT</t>
  </si>
  <si>
    <t>3.1 Cashflows unter Berücksichtung QUALIFIZIERTER SWAPS und unter der Annahme, dass keine VORZEITIGEN ZAHLUNGEN geleistet werden</t>
  </si>
  <si>
    <t>3.1. Cashflows calculados teniendo en cuenta Swaps cualificados sin asumir PREPAGOS</t>
  </si>
  <si>
    <t>Quarters</t>
  </si>
  <si>
    <t>Quartale</t>
  </si>
  <si>
    <t>Trimestres</t>
  </si>
  <si>
    <t>Cover-Pool (assets)</t>
  </si>
  <si>
    <t>Vermögenswerte in der DECKUNGSMASSE</t>
  </si>
  <si>
    <t>Cartera Subyacebte (Activos)</t>
  </si>
  <si>
    <t>Fixed rate assets</t>
  </si>
  <si>
    <t>fest verzinsliche Vermögenswerte</t>
  </si>
  <si>
    <t>Activos a tipo fijo</t>
  </si>
  <si>
    <t>Principal Received</t>
  </si>
  <si>
    <t>Erhaltene Tilgungszahlungen</t>
  </si>
  <si>
    <t>Principal Recibido</t>
  </si>
  <si>
    <t>Interest Received</t>
  </si>
  <si>
    <t>Erhaltene Zinszahlungen</t>
  </si>
  <si>
    <t>Interés Recibido</t>
  </si>
  <si>
    <t>Floating rate assets</t>
  </si>
  <si>
    <t>variabel verzinsliche Vermögenswerte</t>
  </si>
  <si>
    <t>Activos a tipo variable</t>
  </si>
  <si>
    <t>Covered Bonds (liabilities)</t>
  </si>
  <si>
    <t>gedeckte Schuldverschreibungen (Verbindlichkeiten)</t>
  </si>
  <si>
    <t>Cédulas (Pasivos)</t>
  </si>
  <si>
    <t>Fixed rate liabilities</t>
  </si>
  <si>
    <t>fest verzinsliche Verbindlichkeiten</t>
  </si>
  <si>
    <t>Cédulas a tipo fijo</t>
  </si>
  <si>
    <t>Principal Paid</t>
  </si>
  <si>
    <t>Gezahlt Tilgungszahlungen</t>
  </si>
  <si>
    <t>Interest Paid</t>
  </si>
  <si>
    <t>Gezahlt Zinszahlungen</t>
  </si>
  <si>
    <t>Floating rate liabilities</t>
  </si>
  <si>
    <t>variabel verzinsliche Verbindlichkeiten</t>
  </si>
  <si>
    <t>Cédulas a tipo variable</t>
  </si>
  <si>
    <t>fixed rate Assets</t>
  </si>
  <si>
    <t>floating rate Assets</t>
  </si>
  <si>
    <t>fixed rate liabilities</t>
  </si>
  <si>
    <t>floating rate liabilities</t>
  </si>
  <si>
    <t>3.3 Cashflows calculated ignoring all swaps and assuming no PREPAYMENTS</t>
  </si>
  <si>
    <t>3.3 Cashflows ohne Berücksichtung von Swaps und unter der Annahme, dass keine VORZEITIGEN ZAHLUNGEN geleistet werden</t>
  </si>
  <si>
    <t>3.3. Cashflows calculados ignorando Swaps y  sin asumir PREPAGOS</t>
  </si>
  <si>
    <t>Outstanding principal at beginning of period</t>
  </si>
  <si>
    <t>Ausstehendes Nominal am Anfang des Quartals</t>
  </si>
  <si>
    <t>Saldo vivo al comienzo del periodo</t>
  </si>
  <si>
    <t>Nominal Assets Balance</t>
  </si>
  <si>
    <t>Nominaler Vermögenswerte</t>
  </si>
  <si>
    <t>Valor nominal de los activos</t>
  </si>
  <si>
    <t>Additional fields for Hedging (1) sheet</t>
  </si>
  <si>
    <t>Notional of Currency Swap &lt; 5 years</t>
  </si>
  <si>
    <t>Nominalwert der Währungsswaps &lt; 5 Jahre</t>
  </si>
  <si>
    <t>No aplicable a Cédulas</t>
  </si>
  <si>
    <t>Notional of Currency Swaps with AVERAGE LIFE of less than 5 years</t>
  </si>
  <si>
    <t>Nominalwert der Währungsswaps mit einer DURCHSCHNITTLICHEN LAUFZEIT &lt; 5 Jahren</t>
  </si>
  <si>
    <t>Notional of Currency Swap 5 -&lt;10 years</t>
  </si>
  <si>
    <t>Nominalwert der Währungsswaps 5 - &lt;10 Jahre</t>
  </si>
  <si>
    <t>Notional of Currency Swaps with AVERAGE LIFE of 5 - &lt;10 years</t>
  </si>
  <si>
    <t>Nominalwert der Währungsswaps mit einer DURCHSCHNITTLICHEN LAUFZEIT von 5 - &lt; 10 Jahren</t>
  </si>
  <si>
    <t>Notional of Currency Swap 10 -&lt;15 years</t>
  </si>
  <si>
    <t>Nominalwert der Währungsswaps 10 - &lt;15 Jahre</t>
  </si>
  <si>
    <t>Notional of Currency Swaps with AVERAGE LIFE of 10 - &lt;15 years</t>
  </si>
  <si>
    <t>Nominalwert der Währungsswaps mit einer DURCHSCHNITTLICHEN LAUFZEIT von 10 - &lt; 15 Jahren</t>
  </si>
  <si>
    <t>Notional of Currency Swap 15 -&lt;25 years</t>
  </si>
  <si>
    <t>Nominalwert der Währungsswaps 15 - &lt;25 Jahre</t>
  </si>
  <si>
    <t>Notional of Currency Swaps with AVERAGE LIFE of 15 - &lt;25 years</t>
  </si>
  <si>
    <t>Nominalwert der Währungsswaps mit einer DURCHSCHNITTLICHEN LAUFZEIT von 15 - &lt; 25 Jahren</t>
  </si>
  <si>
    <t>Notional of Currency Swap 25 - &gt;25 years</t>
  </si>
  <si>
    <t>Nominalwert der Währungsswaps 25 Jahre und laenger</t>
  </si>
  <si>
    <t>Notional of Currency Swaps with AVERAGE LIFE of 25 and above years</t>
  </si>
  <si>
    <t>Nominalwert der Währungsswaps mit einer DURCHSCHNITTLICHEN LAUFZEIT mehr als 25 Jahren</t>
  </si>
  <si>
    <t>Average Currency Rate of Currency Swaps &lt; 5 years</t>
  </si>
  <si>
    <t>Durchschnittlicher Währungskurs der Währungsswaps &lt; 5 Jahre</t>
  </si>
  <si>
    <t>Average Currency Exchange Rate of Currency Swaps with an AVERAGE LIFE of less than 5 years</t>
  </si>
  <si>
    <t>Durchschnittlicher Währungskurs der Währungsswaps mit einer DURCHSCHNITTLICHEN LAUFZEIT &lt; 5 Jahre</t>
  </si>
  <si>
    <t>Average Currency Rate of Currency Swaps 5 -&lt;10 years</t>
  </si>
  <si>
    <t>Durchschnittlicher Währungskurs der Währungsswaps 5 - &lt; 10 Jahre</t>
  </si>
  <si>
    <t>Average Currency Exchange Rate of Currency Swaps with an AVERAGE LIFE of 5 - &lt;10 years</t>
  </si>
  <si>
    <t>Durchschnittlicher Währungskurs der Währungsswaps mit einer DURCHSCHNITTLICHEN LAUFZEIT von 5 - &lt; 10 Jahren</t>
  </si>
  <si>
    <t>Average Currency Rate of Currency Swaps 10 -&lt;15 years</t>
  </si>
  <si>
    <t>Durchschnittlicher Währungskurs der Währungsswaps 10 - &lt; 15 Jahre</t>
  </si>
  <si>
    <t>Average Currency Exchange Rate of Currency Swaps with an AVERAGE LIFE of 10 - &lt;15 years</t>
  </si>
  <si>
    <t>Durchschnittlicher Währungskurs der Währungsswaps mit einer DURCHSCHNITTLICHEN LAUFZEIT von 10 - &lt; 15 Jahren</t>
  </si>
  <si>
    <t>Average Currency Rate of Currency Swaps 15 -&lt;25 years</t>
  </si>
  <si>
    <t>Durchschnittlicher Währungskurs der Währungsswaps 15 - &lt; 25 Jahre</t>
  </si>
  <si>
    <t>Average Currency Exchange Rate of Currency Swaps with an AVERAGE LIFE of 15 - &lt;25 years</t>
  </si>
  <si>
    <t>Durchschnittlicher Währungskurs der Währungsswaps mit einer DURCHSCHNITTLICHEN LAUFZEIT von 15 - &lt; 25 Jahren</t>
  </si>
  <si>
    <t>Average Currency Rate of Currency Swaps 25 - &gt;25 years</t>
  </si>
  <si>
    <t>Durchschnittlicher Währungskurs der Währungsswaps  25 Jahre und laenger</t>
  </si>
  <si>
    <t>Average Currency Exchange Rate of Currency Swaps with an AVERAGE LIFE of 25 and above years</t>
  </si>
  <si>
    <t>Durchschnittlicher Währungskurs der Währungsswaps mit einer DURCHSCHNITTLICHEN LAUFZEIT von mehr als 25 Jahren</t>
  </si>
  <si>
    <t>Additional fields for Over-Collateralisation sheet</t>
  </si>
  <si>
    <t>Overview calculation of NOMINAL OC</t>
  </si>
  <si>
    <t xml:space="preserve"> Nominale ÜBERBESICHERUNG (Übersicht)</t>
  </si>
  <si>
    <t>Cálculo del OC NOMINAL</t>
  </si>
  <si>
    <t>Where assets and/or covered bonds are in different currencies only, reproduce data above but ignore the impact of any currency swaps (i.e. CURRENCY CONVERSION should be at the exchange rate at the Report Date)</t>
  </si>
  <si>
    <t>Sollten Darlehen und/oder GEDECKTE SCHULDVERSCHREIBUNGEN in verschiedenen Währungen vorhanden sein:  Nominale ÜBERBESICHERUNG ohne die Berücksichtigung von Currency Swaps (d.h. WÄHRUNGSUMRECHUNG zur Spot Rate am BERICHTSDATUM)</t>
  </si>
  <si>
    <t>En caso de que los activos estén en diversas divisas, ignorar el impacto de los swaps de divisas (cualquier impacto de swaps debe ser ignorado en el caso de Cédulas)</t>
  </si>
  <si>
    <t>NOMINAL OC currently in COVER POOL based on ELIGIBLE ONLY (ignoring swaps)</t>
  </si>
  <si>
    <t>Aktuelle nominale ÜBERBESICHERUNG, nur deckungsstockfähig (ohne Berücksichtigung von Swaps)</t>
  </si>
  <si>
    <t>OC NOMINAL ELEGIBLE actual en la CARTERA SUBYACENTE</t>
  </si>
  <si>
    <t>NOMINAL OC currently in COVER POOL based on all Assets (i.e. with INELIGIBLE INCLUDED) (ignoring swaps)</t>
  </si>
  <si>
    <t>NOMINALE ÜBERBESICHERUNG in der DECKUNGSMASSE auf der Grundlage der allen Assets (i.e. mit nicht deckungsstockfähig) (Swaps ignorieren)</t>
  </si>
  <si>
    <t>OC NOMINAL actual basado en todos los ACTIVOS en la CARTERA SUBYACENTE</t>
  </si>
  <si>
    <t>Nominal value of Covered Bonds in issue (ignoring swaps)</t>
  </si>
  <si>
    <t>NOMINALWERT der emittierten GEDECKTEN SCHULDVERSCHREIBUNGEN (ohne die Berücksichtigung von Swaps)</t>
  </si>
  <si>
    <t>Nominal value of COVER POOL (including substitute collateral) (ignoring swaps)</t>
  </si>
  <si>
    <t>Nominalwert der DECKUNGSMASSE (inkl. Ersatzsicherheiten) (ohne die Berücksichtigung von Swaps)</t>
  </si>
  <si>
    <t>Valor nominal del ACTIVO SUBYACENTE</t>
  </si>
  <si>
    <t>NPV of COVER POOL (STRESS 5)</t>
  </si>
  <si>
    <t>Barwert der DECKUNGSMASSE (STRESS 5)</t>
  </si>
  <si>
    <t>NPV de la CARTERA SUBYACENTE STRESS 5</t>
  </si>
  <si>
    <t>NPV of COVER POOL (STRESS 6)</t>
  </si>
  <si>
    <t>Barwert der DECKUNGSMASSE (STRESS 6)</t>
  </si>
  <si>
    <t>NPV de la CARTERA SUBYACENTE STRESS 6</t>
  </si>
  <si>
    <t>NPV of Covered Bonds (STRESS 5)</t>
  </si>
  <si>
    <t>Barwert der Gedeckten Schuldverschreibungen (STRESS 5)</t>
  </si>
  <si>
    <t>NPV de las Cédulas STRESS 6</t>
  </si>
  <si>
    <t>NPV of Covered Bonds (STRESS 6)</t>
  </si>
  <si>
    <t>Barwert der Gedeckten Schuldverschreibungen (STRESS 6)</t>
  </si>
  <si>
    <t>Additional fields for CB Programme Overview sheet</t>
  </si>
  <si>
    <t>Exchange Rates Information</t>
  </si>
  <si>
    <t>Information über die verwendeten Umrechnungskurse bei Fremdwährungen</t>
  </si>
  <si>
    <t>Información sobre tipos de cambio</t>
  </si>
  <si>
    <t>Default Currency</t>
  </si>
  <si>
    <t>STANDARDWÄHRUNG</t>
  </si>
  <si>
    <t>DIVISA ESTÁNDAR</t>
  </si>
  <si>
    <t>Date</t>
  </si>
  <si>
    <t>Fecha</t>
  </si>
  <si>
    <t>Foreign Currency</t>
  </si>
  <si>
    <t>Fremdwährung</t>
  </si>
  <si>
    <t xml:space="preserve">DIVISA </t>
  </si>
  <si>
    <t>Spot exchange rate: number of units of the DEFAULT CURRENCY for one unit of the relevant foreign currency</t>
  </si>
  <si>
    <t>Devisenkassakurs: Anzahl der Einheiten der Standard Währung für eine Einheit der jeweiligen Fremdwährung.</t>
  </si>
  <si>
    <t>Tipo de cambio actual: número de unidades de la DIVISA ESTÁNDAR por una unidad de la divisa relevante.</t>
  </si>
  <si>
    <t>Additional fields for Hedging (4) sheet</t>
  </si>
  <si>
    <t>Hedging (4)</t>
  </si>
  <si>
    <t>4. Interest matching - Hedging (4) page</t>
  </si>
  <si>
    <t>4. Zinsbindung - Tabellenblatt Hedging(4)</t>
  </si>
  <si>
    <t>4. Matching de intereses -Página Heging (4)</t>
  </si>
  <si>
    <t>- This sheet is intended to capture a broad measure of interest rate risk only. Ignore single currency basis swaps when completing this sheet.</t>
  </si>
  <si>
    <t>- Dieses Tabellenblatt dient der Erfassung von Zinsrisiken, unbeachtet Basis-Swaps. In nur einer Währung.</t>
  </si>
  <si>
    <t>- La siguiente hoja pretende capturar a nivela gregado el riesgo de tipo de interés. Ignorar cualquier swap de divisas aplicable al completar esta hoja (en caso de Cédulas cualquier referencia a swaps no es aplicable).</t>
  </si>
  <si>
    <t>- Similarly, ignore all structured style swaps ( for example interest linked swaps, equity linked swaps, constant maturity swaps, etc.).</t>
  </si>
  <si>
    <t>- Vernachlässigen Sie ebenso strukturierte (z.B. "interest linked-", "equity-linked" oder "constant maturity-") Swaps.</t>
  </si>
  <si>
    <t>- De igual modo ignorar cualquier swap estructurado (p.ej. Interest linked swaps, equity linked swaps, cms, etc.)</t>
  </si>
  <si>
    <t>- Both table below should be completed.</t>
  </si>
  <si>
    <t>- Bitte beide Tabellen ausfüllen.</t>
  </si>
  <si>
    <t>- Las siguientes dos tablas deben rellenarse (en el caso de Cédulas sólo primera tabla)</t>
  </si>
  <si>
    <t>- All data should be given in DEFAULT CURRENCY.</t>
  </si>
  <si>
    <t>- Alle Angaben in STANDARDWÄHRUNG.</t>
  </si>
  <si>
    <t>- Todos los datos deben ser referenciados a la DIVISA ESTÁNDAR</t>
  </si>
  <si>
    <t>- Where there is any such "structured style swap" communicate these to Moody's. These swaps need to be considered on their individual merits.</t>
  </si>
  <si>
    <t>- Sind strukturierte Swaps vorhanden, sind die entsprenchenden Informationen Moody's zu übermitteln. Diese Swaps werden auf Einzelfallbasis analysiert.</t>
  </si>
  <si>
    <t>- En caso de swaps estructurados comunicárselo a Moody's (ignorar esto para Cédulas).</t>
  </si>
  <si>
    <t>1) Complete table in DEFAULT CURRENCY. Amounts should be translated into the DEFAULT CURRENCY using the exchange rate at the REPORT DATE (igoring the impact of currency swaps)</t>
  </si>
  <si>
    <t>1) Bitte die Tabelle in STANDARDWÄHRUNG ausfüllen. Umrechnung zum Wechselkurs zum BERICHTSDATUM, unbeachtet Zinsswaps.</t>
  </si>
  <si>
    <t>- Completar la tabla en la DIVISA ESTÁNDAR. Las cantidades se deben calcular aplicanto el tipo de cambio de la dIVISA ESTÁNDAR a FECHA DE INFORME (ignorando cualquier referencia a swap de divisas).</t>
  </si>
  <si>
    <t>Before taking account of interest-rate swaps</t>
  </si>
  <si>
    <t>Vor Berücksichtigung von Zinsswaps</t>
  </si>
  <si>
    <t>Antes de tener en cuenta los derivados</t>
  </si>
  <si>
    <t>After taking account of interest-rate swaps</t>
  </si>
  <si>
    <t>Nach Berücksichtigung von Zinsswaps</t>
  </si>
  <si>
    <t>Luego de tener en cuenta los derivados</t>
  </si>
  <si>
    <t>Volume of Cover Pool</t>
  </si>
  <si>
    <t>Volumen des Deckungsstocks</t>
  </si>
  <si>
    <t>Saldo del la CARTERA SUBYACENTE</t>
  </si>
  <si>
    <t>Volume of Covered Bonds</t>
  </si>
  <si>
    <t>Volumen der Pfandbriefe</t>
  </si>
  <si>
    <t>Saldo de las Céduals vivas</t>
  </si>
  <si>
    <t>Floating rate or Fixed rate with reset ≤1 years</t>
  </si>
  <si>
    <t>Variable oder fixe Verzinsung, Zinsanpassungstermin &lt; 1 Jahr</t>
  </si>
  <si>
    <t>Tipo variable o tipo fijo a ≤1 año</t>
  </si>
  <si>
    <t>Fixed rate with reset  &gt;1 but ≤ 3 years</t>
  </si>
  <si>
    <t>Fixe Verzinsung mit Zinsanpassungstermin nach  &gt;1 bis ≤ 3 Jahren</t>
  </si>
  <si>
    <t>Tipo fijo a &gt;1 pero ≤ 3 años</t>
  </si>
  <si>
    <t>Fixed rate with reset  &gt;3 but ≤ 5 years</t>
  </si>
  <si>
    <t>Fixe Verzinsung mit Zinsanpassungstermin nach  &gt;3 bis ≤ 5 Jahren</t>
  </si>
  <si>
    <t>Tipo fijo a &gt;3 pero ≤ 5 años</t>
  </si>
  <si>
    <t>Fixed rate with reset  &gt;5 but ≤ 7 years</t>
  </si>
  <si>
    <t>Fixe Verzinsung mit Zinsanpassungstermin nach  &gt;5 bis ≤ 7 Jahren</t>
  </si>
  <si>
    <t>Tipo fijo a &gt;5 pero ≤ 7 años</t>
  </si>
  <si>
    <t>Fixed rate with reset  &gt;7 but ≤ 10 years</t>
  </si>
  <si>
    <t>Fixe Verzinsung mit Zinsanpassungstermin nach  &gt;7 bis ≤ 10 Jahren</t>
  </si>
  <si>
    <t>Tipo fijo a &gt;7 pero ≤ 10 años</t>
  </si>
  <si>
    <t>Fixed rate with reset  &gt;10 but ≤ 15 years</t>
  </si>
  <si>
    <t>Fixe Verzinsung mit Zinsanpassungstermin nach  &gt;10 bis ≤ 15 Jahren</t>
  </si>
  <si>
    <t>Tipo fijo a &gt;10 pero ≤  15 años</t>
  </si>
  <si>
    <t>Fixed rate with reset  &gt;15 but ≤ 25 years</t>
  </si>
  <si>
    <t>Fixe Verzinsung mit Zinsanpassungstermin nach  &gt;15 bis ≤ 25 Jahren</t>
  </si>
  <si>
    <t>Tipo fijo a &gt;15 pero ≤ 25 años</t>
  </si>
  <si>
    <t>Fixed rate with reset  &gt;25 years</t>
  </si>
  <si>
    <t>Fixe Verzinsung mit Zinsanpassungstermin nach &gt; 25 Jahren</t>
  </si>
  <si>
    <t>Tipo fijo a &gt; 25 años</t>
  </si>
  <si>
    <t>2) Complete the following table in DEFAULT CURRENCY. However, where QUALIFYING SWAPS for currency are in place, the amount should be translated into the DEFAULT CURRENCY using the swap exchange rate. Otherwise, the exchange rate used for conversion should be the exchange rate at the REPORT DATE.</t>
  </si>
  <si>
    <t>2) Bitte die folgende Tabelle in STANDARDWÄHRUNG ausfüllen. Falls QUALIFIZIERTE SWAPS eingesetzt werden, bitte Swap-Wechselkurs verwenden. Falls keine QUALIFIZIERTEN SWAPS eingesetzt werden, Wechselkurs zum BERICHTSDATUM verwenden.</t>
  </si>
  <si>
    <t>2) Completar la siguiente tabla en la DIVISA estándar (NO completar en caso de cédulas). Sin embargo, en caso de SWAPS TOTALMENTE o PARCIALMENTE APLICABLES, utilizar la divisa de los mismos usando el tipo de cambio en dichos contratos. En cualquier otro caso utilizar el tipo de cambio en FECHA DE INFORME.</t>
  </si>
  <si>
    <t>Example</t>
  </si>
  <si>
    <t>Beispiel</t>
  </si>
  <si>
    <t>If Issuer enters a 100,000,000 Swap paying fixed for 12 years and receiving 3 months LIBOR, enter 100,000,000 (also in second table, if Swap is QUALIFYING) in :</t>
  </si>
  <si>
    <t>Unter einem 100.000.000 Swap zahlt Emittent 12 Jahre fix und erhaelt 3-Monats-LIBOR. --&gt; Eintrag 100.000.000 (bei QUALIFIZIERTEN SWAPS auch in zweiter Tabelle) in :</t>
  </si>
  <si>
    <t>The sum in each swap column should sum up to the aggregate nominal amount of all swaps.</t>
  </si>
  <si>
    <t>Die Summe jeder Spalte für die Swaps entspricht dem Nominalbetrag aller Swaps.</t>
  </si>
  <si>
    <t>NO. OF BORROWERS</t>
  </si>
  <si>
    <t>ZAHL DER KREDITNEHMER</t>
  </si>
  <si>
    <t>N. De DEUDORES</t>
  </si>
  <si>
    <t>NO. OF LOANS</t>
  </si>
  <si>
    <t>N. De PRÉSTAMOS</t>
  </si>
  <si>
    <t>NO. OF PROPERTIES</t>
  </si>
  <si>
    <t>ZAHL DER IMMOBILIEN</t>
  </si>
  <si>
    <t>N. de Propiedades</t>
  </si>
  <si>
    <t>Total LOAN BALANCE</t>
  </si>
  <si>
    <t>Gesamter KREDITSALDO</t>
  </si>
  <si>
    <t>SALDO VIVO DE PRÉSTAMOS</t>
  </si>
  <si>
    <t>WHAT IS A RESIDENTIAL LOAN</t>
  </si>
  <si>
    <t>WOHNIMMOBILIEN-KREDITE</t>
  </si>
  <si>
    <t>¿CÓMO SE DEFINE UN PRÉSTAMO RESIDENCIAL?</t>
  </si>
  <si>
    <t>- Loans meeting the following criteria should be considered Residential Loans for the purposes of the Moody’s template:
1) typically full recourse to the individual taking out the loan; AND 
2) secured against a residential property; AND
3) not otherwise considered a Commercial Loan. See also the definition of Commercial Loan.</t>
  </si>
  <si>
    <t>Darlehen, die die folgenden Kriterien erfüllen, sollten als Wohnungsbaudarlehen für das Moody's Template betrachtet werden:                                                                                                                                         1) Typischwerweise voller Rückgriff auf den Kreditnehmer; UND                                                                                                                                                                                      2) besichert mit einer Wohnimmobilie; UND
3) nicht anderweitig als Gewerbedarlehen berücksichtigt. Siehe auch die Definition von Gewerbedarlehen.</t>
  </si>
  <si>
    <t xml:space="preserve">Aquellos préstamos que cumplan con los siguientes criterios deberán ser considerados Préstamos Residenciales para el propósito de la plantilla de Moody’s: 
1) Que implique un recurso sobre la persona tomadora del préstamo y ;
2) garantizado por una propiedad residencial; Y
3) no considerado como un Préstamo Comercial. Ver también la definición de Préstamo Comercial.
</t>
  </si>
  <si>
    <t>WHAT IS A COMMERCIAL LOAN?</t>
  </si>
  <si>
    <t>GEWERBLICHE INMOBILIENKREDITE</t>
  </si>
  <si>
    <t>¿CÓMO SE DEFINE UN PRÉSTAMO COMERCIAL?</t>
  </si>
  <si>
    <t>- Moody's prefers COMMERCIAL LOAN data on a loan by loan basis. 
- If COMMERCIAL LOANS make up more than 35% of the COVER POOL by value, please do not use this sheet - but instead the "Commercial LbyL" page should be completed. 
- Where COMMERCIAL LOANS make up less than 35%, data may be provided on a stratified basis on this sheet; but issuers are required to report the loans in respect of the 100 largest borrowers in the sheet “Commercial LbyL”. Please exclude these loans from the stratified data.</t>
  </si>
  <si>
    <t xml:space="preserve">- Moody's bevorzugt Daten auf Einzelkreditbasis (Tabellenblatt "Commercial LbyL"), da dies eine genauere Analyse von GEWERBLICHEN IMMOBILIENKREDITEN ermoeglicht.
- Bitte verwenden Sie dieses Tabellenblatt nicht, falls GEWERBLICHE IMMOBILIENKREDITE mehr als 35% der DECKUNGSMASSE ausmachen.
- Falls GEWERBLICHE IMMOBILIENKREDITE weniger als 35% der DECKUNGSMASSE ausmachen, besteht die Moeglichkeit zur Verwendung dieses Tabellenblattes; bitte jedoch alle Kredite and die groessten 100 Kreditnehmer im Tabellenblatt "Commercial LbyL" auffuehren (Diese Kredite dann nicht im "Stratified"-Blatt beruecksichtigen). </t>
  </si>
  <si>
    <t>- No utilice esta hoja en caso de que los PRÉSTAMOS COMERCIALES representen más del 35% del valor del total de la CARTERA HIPOTECARIA. En ese caso utilice la hoja "Commercial LbyL".
-Si los PRÉSTAMOS COMERCIALES son menores al 35% del valor total de  la CARTERA HIPOTECARIA, puede proporcionar información estratificada en esta hoja sobre dichos préstamos. Sin embargo, registre los préstamos concedidos al los mayores 100 deudores en la hoja  "Commercial LbyL" y exclúyala de esta hoja.</t>
  </si>
  <si>
    <t>Länder</t>
  </si>
  <si>
    <t>Países</t>
  </si>
  <si>
    <t>Australien</t>
  </si>
  <si>
    <t>Österreich</t>
  </si>
  <si>
    <t>Belgien</t>
  </si>
  <si>
    <t>Bélgica</t>
  </si>
  <si>
    <t>Kanada</t>
  </si>
  <si>
    <t>Canadá</t>
  </si>
  <si>
    <t>Dänemark</t>
  </si>
  <si>
    <t>Dinamarca</t>
  </si>
  <si>
    <t>Frankreich</t>
  </si>
  <si>
    <t>Francia</t>
  </si>
  <si>
    <t>Deutschland</t>
  </si>
  <si>
    <t>Alemania</t>
  </si>
  <si>
    <t>Griechenland</t>
  </si>
  <si>
    <t>Grecia</t>
  </si>
  <si>
    <t>Ungarn</t>
  </si>
  <si>
    <t>Hungría</t>
  </si>
  <si>
    <t>Irland</t>
  </si>
  <si>
    <t>Irlanda</t>
  </si>
  <si>
    <t>Italien</t>
  </si>
  <si>
    <t>Italia</t>
  </si>
  <si>
    <t>Japón</t>
  </si>
  <si>
    <t>Niederlande</t>
  </si>
  <si>
    <t>Países Bajos</t>
  </si>
  <si>
    <t>Norwegen</t>
  </si>
  <si>
    <t>Noruega</t>
  </si>
  <si>
    <t>Polen</t>
  </si>
  <si>
    <t>Polonia</t>
  </si>
  <si>
    <t>Finnland</t>
  </si>
  <si>
    <t>Finlandia</t>
  </si>
  <si>
    <t>Spanien</t>
  </si>
  <si>
    <t>España</t>
  </si>
  <si>
    <t>Schweden</t>
  </si>
  <si>
    <t>Suecia</t>
  </si>
  <si>
    <t>Schweiz</t>
  </si>
  <si>
    <t>Suiza</t>
  </si>
  <si>
    <t>Großbritannien</t>
  </si>
  <si>
    <t>Reino Unido</t>
  </si>
  <si>
    <t>Island</t>
  </si>
  <si>
    <t>Islandia</t>
  </si>
  <si>
    <t>Anderes</t>
  </si>
  <si>
    <t>Czech Republic</t>
  </si>
  <si>
    <t>Tschechische Republik</t>
  </si>
  <si>
    <t>República Checa</t>
  </si>
  <si>
    <t>Commercial Classification</t>
  </si>
  <si>
    <t>Einteilung gewerblich genutzter Immobilien</t>
  </si>
  <si>
    <t>Clasificación Comercial</t>
  </si>
  <si>
    <t xml:space="preserve"> Offices (total)</t>
  </si>
  <si>
    <t>Bürogebäude (insgesamt)</t>
  </si>
  <si>
    <t>Offices in CBD</t>
  </si>
  <si>
    <t xml:space="preserve">   Offices in secondary areas</t>
  </si>
  <si>
    <t>Bürogebäude in Randlage</t>
  </si>
  <si>
    <t xml:space="preserve"> Retail (total)</t>
  </si>
  <si>
    <t>Einzelhandelsflächen</t>
  </si>
  <si>
    <t xml:space="preserve"> Industrial (total)</t>
  </si>
  <si>
    <t>Industriegebäude</t>
  </si>
  <si>
    <t>Logistische Gebäude, Lagerflächen</t>
  </si>
  <si>
    <t xml:space="preserve"> Hotel</t>
  </si>
  <si>
    <t xml:space="preserve"> Multifamily</t>
  </si>
  <si>
    <t>Mehrfamilienhäuser</t>
  </si>
  <si>
    <t>Immobilie im Miteigentum der Mieter</t>
  </si>
  <si>
    <t xml:space="preserve"> LAND (Total)</t>
  </si>
  <si>
    <t>GRUNDSTÜCKE (gesamt)</t>
  </si>
  <si>
    <t xml:space="preserve">   Pre-let</t>
  </si>
  <si>
    <t>Vorvermietung</t>
  </si>
  <si>
    <t xml:space="preserve">   No-pre-let</t>
  </si>
  <si>
    <t>Keine Vorvermietung</t>
  </si>
  <si>
    <t xml:space="preserve"> Real Estate Developers</t>
  </si>
  <si>
    <t>Bauunternehmer</t>
  </si>
  <si>
    <t xml:space="preserve"> Other</t>
  </si>
  <si>
    <t>Sonstige</t>
  </si>
  <si>
    <t>Type of Commercial Collateral</t>
  </si>
  <si>
    <t>Typ von als Sicherheit dienenden, gewerblich genutzten Immobilien</t>
  </si>
  <si>
    <t>Tipo de inmueble comercial</t>
  </si>
  <si>
    <t>Industrial (logistical facilities, warehouses)</t>
  </si>
  <si>
    <t>Industriegebäude (logistische Gebäude, Lagerflächen)</t>
  </si>
  <si>
    <t>Industrial (plant, factories)</t>
  </si>
  <si>
    <t>Industriegebäude (Anlagen, Fabriken)</t>
  </si>
  <si>
    <t>Multifamily Landlord</t>
  </si>
  <si>
    <t>Mehrfamilienhäuser, vermietet</t>
  </si>
  <si>
    <t>Multifamily Tenant Co-operative Property</t>
  </si>
  <si>
    <t>Mehrfamilienhäuser, Miteigentum der Mieter</t>
  </si>
  <si>
    <t>LAND (or under construction/completed but never tenanted)</t>
  </si>
  <si>
    <t>GRUNDSTÜCKE (oder in  Bau befindliche / fertiggestellte, aber bisher noch vermietete Gebaeude)</t>
  </si>
  <si>
    <t>Not Commercial</t>
  </si>
  <si>
    <t>Keine gewerbliche Nutzung</t>
  </si>
  <si>
    <t>Version der Vorlage</t>
  </si>
  <si>
    <t>Idioma del Fichero</t>
  </si>
  <si>
    <t>Englisch</t>
  </si>
  <si>
    <t>Inglés</t>
  </si>
  <si>
    <t>Deutsch</t>
  </si>
  <si>
    <t>Alemán</t>
  </si>
  <si>
    <t>Spanisch</t>
  </si>
  <si>
    <t>Espanol</t>
  </si>
  <si>
    <t>Español</t>
  </si>
  <si>
    <t>Asset Types</t>
  </si>
  <si>
    <t>Typen von Vermögenswerten</t>
  </si>
  <si>
    <t>Tipo de Activos</t>
  </si>
  <si>
    <t>Hypotheken für Wohnimmobilien</t>
  </si>
  <si>
    <t>Hipotecarios Residenciales</t>
  </si>
  <si>
    <t>Hypotheken für gewerblich genutzte Immobilien</t>
  </si>
  <si>
    <t>Hipotecarios Comerciales</t>
  </si>
  <si>
    <t>Public Sector</t>
  </si>
  <si>
    <t>Sector Público</t>
  </si>
  <si>
    <t>Substitute collateral</t>
  </si>
  <si>
    <t>Colateral adicional</t>
  </si>
  <si>
    <t>Yes</t>
  </si>
  <si>
    <t>Ja</t>
  </si>
  <si>
    <t>Sí</t>
  </si>
  <si>
    <t>No</t>
  </si>
  <si>
    <t>Nein</t>
  </si>
  <si>
    <t>Only on loss of rating trigger</t>
  </si>
  <si>
    <t>Nur bei Verlust des Rating-Auslösers</t>
  </si>
  <si>
    <t>Sólo a pérdida de rating</t>
  </si>
  <si>
    <t>ENDFALLIGKEIT</t>
  </si>
  <si>
    <t>Pass through</t>
  </si>
  <si>
    <t>Allmähliche Tilgung</t>
  </si>
  <si>
    <t>Other amortising</t>
  </si>
  <si>
    <t>Sonstige Amortisierung</t>
  </si>
  <si>
    <t>Otro tipo amortizativo</t>
  </si>
  <si>
    <t>Semi-Annually</t>
  </si>
  <si>
    <t>Performing</t>
  </si>
  <si>
    <t>Ordnungsgemäße Bedienung</t>
  </si>
  <si>
    <t>Morosidad</t>
  </si>
  <si>
    <t>Performing always</t>
  </si>
  <si>
    <t>Stets ordnungsgemäße Bedienung</t>
  </si>
  <si>
    <t>Corriente de pago siempre</t>
  </si>
  <si>
    <t>Currently performing</t>
  </si>
  <si>
    <t>Derzeit ordnungsgemäße Bedienung</t>
  </si>
  <si>
    <t>Actualmente corriente de pagos</t>
  </si>
  <si>
    <t>Not performing arrears &lt; 2 mts (and not BPI or Fce)</t>
  </si>
  <si>
    <t>Rückstände &lt; 2 Monate</t>
  </si>
  <si>
    <t>En morosidad desde menos de 2 meses</t>
  </si>
  <si>
    <t>Not performing arrears ≥2 mts - &lt; 6 mts (and not BPI or Fce)</t>
  </si>
  <si>
    <t>Rückstände ≥ 2, &lt; 6 Monate</t>
  </si>
  <si>
    <t>En morosidad a más de dos meses</t>
  </si>
  <si>
    <t>Fixed</t>
  </si>
  <si>
    <t>Fijo</t>
  </si>
  <si>
    <t>Floating (capped)</t>
  </si>
  <si>
    <t>Variabel (capped)</t>
  </si>
  <si>
    <t>Variable (con Caps)</t>
  </si>
  <si>
    <t>Floating (no cap)</t>
  </si>
  <si>
    <t>Variabel (kein Cap)</t>
  </si>
  <si>
    <t>Variable (sin Caps)</t>
  </si>
  <si>
    <t>Static</t>
  </si>
  <si>
    <t>Statisch</t>
  </si>
  <si>
    <t>Estático</t>
  </si>
  <si>
    <t>Dynamic</t>
  </si>
  <si>
    <t>Dynamisch</t>
  </si>
  <si>
    <t>Dinámico</t>
  </si>
  <si>
    <t>ASSUMED PREPAYMENT LEVEL</t>
  </si>
  <si>
    <t>Erwartete Vorauszahlung</t>
  </si>
  <si>
    <t>NIVEL DE PREPAGOS ASUMIDO</t>
  </si>
  <si>
    <t>nil prepayment</t>
  </si>
  <si>
    <t>Kein prepayment</t>
  </si>
  <si>
    <t>0% Prepagos</t>
  </si>
  <si>
    <t>NPV</t>
  </si>
  <si>
    <t>BARWERT</t>
  </si>
  <si>
    <t>ELIGIBLE ONLY OC</t>
  </si>
  <si>
    <t>DECKUNGSSTOCKFAHIG</t>
  </si>
  <si>
    <t>Sólo ELEGIBLE</t>
  </si>
  <si>
    <t>Ineligible Included OC</t>
  </si>
  <si>
    <t>Nicht deckungsstockfähig</t>
  </si>
  <si>
    <t>OC NO ELEGIBLE INCLUIDO</t>
  </si>
  <si>
    <t>Direct claim against supranational</t>
  </si>
  <si>
    <t>Direkter Anspruch - Supranational</t>
  </si>
  <si>
    <t>PRÉSTAMOS CON GARANTÍA DE UNA ENTIDAD SUPRANACIONAL</t>
  </si>
  <si>
    <t>Direct claim against sovereign</t>
  </si>
  <si>
    <t>Direkter Anspruch - Staat</t>
  </si>
  <si>
    <t>PRÉSTAMOS CON GARANTÍA DEL ESTADO</t>
  </si>
  <si>
    <t>Loan with guarantee of sovereign</t>
  </si>
  <si>
    <t>Gewährleistet durch Staat</t>
  </si>
  <si>
    <t>PRÉSTAMOS A ENTIDADES PARTICIPADAS POR EL ESTADO</t>
  </si>
  <si>
    <t>Direct claim against region/federal state</t>
  </si>
  <si>
    <t xml:space="preserve">Direkter Anspruch - Regionalregierung </t>
  </si>
  <si>
    <t>PRÉSTAMOS A.A.P.P. REGIONALES</t>
  </si>
  <si>
    <t>Loan with guarantee of region/federal state</t>
  </si>
  <si>
    <t>Gewährleistet durch Regionalregierung</t>
  </si>
  <si>
    <t>PRÉSTAMOS A ENTIDADES PARTICIPADAS AL 100% POR AUTORIDADES REGIONALES</t>
  </si>
  <si>
    <t>Direct claim against municipality</t>
  </si>
  <si>
    <t>Direkter Anspruch - örtliche Gebietskörperschaft</t>
  </si>
  <si>
    <t>PRÉSTAMOS A.A.P.P. LOCALES</t>
  </si>
  <si>
    <t>Loan with guarantee of municipality</t>
  </si>
  <si>
    <t>Gewährleistet durch örtliche Gebietskörperschaft</t>
  </si>
  <si>
    <t>PRÉSTAMOS A ENTIDADES PARTICIPADAS AL 100% POR AUTORIDADES LOCALES</t>
  </si>
  <si>
    <t>PRÉSTAMOS A ENTIDADES PARTICIPADAS MAYORITARIAMENTE POR AUTORIDADES LOCALES/REGIONALES</t>
  </si>
  <si>
    <t>OTRAS</t>
  </si>
  <si>
    <t>Swap with defined principal payment profile - with bullet principal payment</t>
  </si>
  <si>
    <t>Swap mit vereinbartem Amortisationsprofil - ENDFällig</t>
  </si>
  <si>
    <t>Swap with defined principal payment profile - with stepped principal payments</t>
  </si>
  <si>
    <t>Swap mit vereinbartem Amortisationsprofil - amortisierend</t>
  </si>
  <si>
    <t>Swap with no defined payment profile (Balance Guarantee swap)</t>
  </si>
  <si>
    <t>Swap ohne vereinbartes Amortisationsprofil (Balance Guarantee Swap)</t>
  </si>
  <si>
    <t>- 1 year forward looking for both NET CASH and debt service</t>
  </si>
  <si>
    <t>- Naechste 12 Monate für LAUFENDE EINNAHMEN (NETTO) und SCHULDENDIENST</t>
  </si>
  <si>
    <t>- A un año vista tanto para CASH NETO como DEUDA</t>
  </si>
  <si>
    <t>-1 year backward looking for NET CASH and debt service</t>
  </si>
  <si>
    <t>- Letzte 12 Monate für LAUFENDE EINNAHMEN (NETTO) und SCHULDENDIENST</t>
  </si>
  <si>
    <t>- En base a último año tanto para CASH NETO como DEUDA</t>
  </si>
  <si>
    <t>- one quarter forward looking extrapolated forward for both NET CASH and debt service</t>
  </si>
  <si>
    <t>- 1 Quartal, extrapoliert, für LAUFENDE EINNAHMEN (NETTO) und SCHULDENDIENST</t>
  </si>
  <si>
    <t>- A un trimestre vista tanto para CASH NETO como DEDUDA extrapolado a un año</t>
  </si>
  <si>
    <t>-other period consistently applied for both NET CASH and debt service</t>
  </si>
  <si>
    <t>- Betrachteter Zeitraum für LAUFENDE EINNAHMEN (NETTO) = Betr. Zeitr. f. SCHULDENDIENST, jedoch &lt;&gt; 3 oder 12 Monate</t>
  </si>
  <si>
    <t>-Otro periodo igualmente utilizado para CASH NETO y DEUDA</t>
  </si>
  <si>
    <t>- periods used for NET CASH and debt service data are different</t>
  </si>
  <si>
    <t>- Betrachteter Zeitraum für LAUFENDE EINNAHMEN (NETTO) &lt;&gt; Betr. Zeitr. f. SCHULDENDIENST</t>
  </si>
  <si>
    <t>- Periodos distintos para CASH NETO y DEUDA</t>
  </si>
  <si>
    <t>Initiate Input of Data</t>
  </si>
  <si>
    <t>Dateneingabe beginnen</t>
  </si>
  <si>
    <t>Mass Data Input</t>
  </si>
  <si>
    <t>Eingabe von Massendaten</t>
  </si>
  <si>
    <t>Print Workbook</t>
  </si>
  <si>
    <t>Seite drucken</t>
  </si>
  <si>
    <t>Initiate</t>
  </si>
  <si>
    <t>Start</t>
  </si>
  <si>
    <t>Cancel</t>
  </si>
  <si>
    <t>Abbrechen</t>
  </si>
  <si>
    <t>Please select the pages required for your issuance/programme:</t>
  </si>
  <si>
    <t>Bitte wählen Sie die für Ihr(e) Emission/Programm notwendigen Seiten:</t>
  </si>
  <si>
    <t>Por favor, seleccione las páginas requeridas para su emisión/programa:</t>
  </si>
  <si>
    <t>1. CB Programme Overview</t>
  </si>
  <si>
    <t>1. Überblick über das Programm mit Gedeckten Schuldverschreibungen</t>
  </si>
  <si>
    <t>1. Resumen programa Cédulas</t>
  </si>
  <si>
    <t>2. Over-Collateralisation</t>
  </si>
  <si>
    <t>2. Überbesicherung</t>
  </si>
  <si>
    <t>2. Sobre-Colateralización (OC)</t>
  </si>
  <si>
    <t>3. Collateral</t>
  </si>
  <si>
    <t>3. Sicherheiten</t>
  </si>
  <si>
    <t>3. Cartera Subyacente</t>
  </si>
  <si>
    <t>3.1 Residential Mortgage Collateral</t>
  </si>
  <si>
    <t>3.1. Wohnimmobilien-Kredite</t>
  </si>
  <si>
    <t>3.1. Préstamos hipotecarios carácter residencial</t>
  </si>
  <si>
    <t>3.1.1 Residential Mortgages located in 1 country / originated in 1 currency</t>
  </si>
  <si>
    <t>3.1.1. Wohnimmobilien-Kredite in einem Land / ausgereicht in 1 Währung</t>
  </si>
  <si>
    <t>3.1.1 Préstamos residenciales en 1 divisa</t>
  </si>
  <si>
    <t>3.1.2 Residential Mortgages located in 2 countries / originated in 2 currencies</t>
  </si>
  <si>
    <t>3.1.2. Wohnimmobilien-Kredite in 2 Ländern /  ausgereicht in 2 Währungen</t>
  </si>
  <si>
    <t>3.1.2 Préstamos residenciales en 2 divisas</t>
  </si>
  <si>
    <t>3.1.3 Residential Mortgages located in 3 countries / originated in 3 currencies</t>
  </si>
  <si>
    <t>3.1.3. Wohnimmobilien-Kredite in 3 Ländern /  ausgereicht in 3 Währungen</t>
  </si>
  <si>
    <t>3.1.3 Préstamos residenciales en 3 divisas</t>
  </si>
  <si>
    <t>3.1.4 Residential Mortgages located in 4 countries / originated in 4 currencies</t>
  </si>
  <si>
    <t>3.1.4. Wohnimmobilien-Kredite in 4 Ländern /  ausgereicht in 4 Währungen</t>
  </si>
  <si>
    <t>3.1.4 Préstamos residenciales en 4 divisas</t>
  </si>
  <si>
    <t>3.1.5 Residential Mortgages located in 5 countries / originated in 5 currencies</t>
  </si>
  <si>
    <t>3.1.5. Wohnimmobilien-Kredite in 5 Ländern /  ausgereicht in 5 Währungen</t>
  </si>
  <si>
    <t>3.1.5 Préstamos residenciales en 5 divisas</t>
  </si>
  <si>
    <t>No Residential Mortgages</t>
  </si>
  <si>
    <t>Keine Wohnimmobilien-Kredite</t>
  </si>
  <si>
    <t>No hay Préstamos residenciales</t>
  </si>
  <si>
    <t>3.2 Commercial Mortgage Collateral</t>
  </si>
  <si>
    <t>3.2 Hypotheken für gewerblich genutzte Immobilien</t>
  </si>
  <si>
    <t>3.2. Préstamos hipotecarios carácter comercial</t>
  </si>
  <si>
    <t>3.2.1 Stratified Commercial Mortgages located in 1 country / originated in 1 currency</t>
  </si>
  <si>
    <t>3.2.1 Aggregiert Hypotheken für gewerblich genutzte Immobilien in einem Land /  ausgereicht in 1 Währung</t>
  </si>
  <si>
    <t>3.2.1 Préstamos hipotecarios comerciales en 1 país/originados en 1 divisa</t>
  </si>
  <si>
    <t>3.2.2 Stratified Commercial Mortgages located in 2 countries / originated in 2 currencies</t>
  </si>
  <si>
    <t>3.2.2 Aggregiert Hypotheken für gewerblich genutzte Immobilien in 2 Ländern /  ausgereicht in 2 Währungen</t>
  </si>
  <si>
    <t>3.2.2 Préstamos hipotecarios comerciales en 2 países/originados en 2 divisas</t>
  </si>
  <si>
    <t>3.2.3 Stratified Commercial Mortgages located in 3 countries / originated in 3 currencies</t>
  </si>
  <si>
    <t>3.2.3 Aggregiert Hypotheken für gewerblich genutzte Immobilien in 3 Ländern /  ausgereicht in 3 Währungen</t>
  </si>
  <si>
    <t>3.2.3. Préstamos hipotecarios comerciales en 3 países/originados en 3 divisas</t>
  </si>
  <si>
    <t>3.2.4 Stratified Commercial Mortgages located in 4 countries / originated in 4 currencies</t>
  </si>
  <si>
    <t>3.2.4 Aggregiert Hypotheken für gewerblich genutzte Immobilien in 4 Ländern /  ausgereicht in 4 Währungen</t>
  </si>
  <si>
    <t>3.2.4.  Préstamos hipotecarios comerciales en 4 países/originados en 4 divisas</t>
  </si>
  <si>
    <t>3.2.5 Stratified Commercial Mortgages located in 5 countries / originated in 5 currencies</t>
  </si>
  <si>
    <t>3.2.5 Aggregiert Hypotheken für gewerblich genutzte Immobilien in 5 Ländern /  ausgereicht in 5 Währungen</t>
  </si>
  <si>
    <t>3.2.5. Préstamos hipotecarios comerciales en 5 países/originados en 5 divisas</t>
  </si>
  <si>
    <t>No Commercial Mortgages</t>
  </si>
  <si>
    <t>Keine Hypotheken für gewerblich genutzte Immobilien</t>
  </si>
  <si>
    <t>No hay Préstamos comerciales</t>
  </si>
  <si>
    <t>3.3 Public Sector Collateral</t>
  </si>
  <si>
    <t>3.3 Kredite an den Öffentlichen Sektor</t>
  </si>
  <si>
    <t>3.3. Préstamos a las A.A.P.P.</t>
  </si>
  <si>
    <t>Public Sector Assets</t>
  </si>
  <si>
    <t>Kredite an den Öffentlichen Sektor</t>
  </si>
  <si>
    <t>Cartera a las A.A.P.P.</t>
  </si>
  <si>
    <t>No Public Sector Assets</t>
  </si>
  <si>
    <t>Keine Kredite an den Öffentlichen Sektor</t>
  </si>
  <si>
    <t>No existe cartera a las A.A.P.P.</t>
  </si>
  <si>
    <t>3.4 Substitute Collateral</t>
  </si>
  <si>
    <t>3.4 Ersatzsicherheiten</t>
  </si>
  <si>
    <t>3.4 Subyacente adicional (no aplicable Cédulas)</t>
  </si>
  <si>
    <t>3.2 Loan by Loan Commercial Mortage</t>
  </si>
  <si>
    <t>3.2 Gewerbliche Immobilienkredite - Daten auf Einzelkreditbasis</t>
  </si>
  <si>
    <t>3.2. Cartera Comercial préstamo a préstamo</t>
  </si>
  <si>
    <t>4. Hedging</t>
  </si>
  <si>
    <t>4.1  Hedging (1) - Overview</t>
  </si>
  <si>
    <t>4.1 Hedging (1) - Overview</t>
  </si>
  <si>
    <t>4.1 Hedging (1) -  Überblick</t>
  </si>
  <si>
    <t>4.1  Hedging (1) - resumen</t>
  </si>
  <si>
    <t>4.2  Hedging (2) - Swap by swap</t>
  </si>
  <si>
    <t>4.2 Hedging (2) - Swap by swap</t>
  </si>
  <si>
    <t>4.2 Hedging (2) - Einzelne Swaps</t>
  </si>
  <si>
    <t>4.2  Hedging (2) - Swap by swap (no aplicable a cédulas)</t>
  </si>
  <si>
    <t>4.3  Hedging (3) - Cash flow analysis</t>
  </si>
  <si>
    <t>4.3 Hedging (3) - Cash flow analysis</t>
  </si>
  <si>
    <t>4.3 Hedging (3) - Cashflow-Analyse</t>
  </si>
  <si>
    <t xml:space="preserve">4.3  Hedging (3) - Análisis Cash flow </t>
  </si>
  <si>
    <t>4.4  Hedging (4) - Interest Matching</t>
  </si>
  <si>
    <t>4.4  Hedging (4) - Interest matching</t>
  </si>
  <si>
    <t>4.4 Hedging (4) - Zinsbindung</t>
  </si>
  <si>
    <t>4.4. Hedging (4) -Matching de tipos</t>
  </si>
  <si>
    <t>Residential Menu</t>
  </si>
  <si>
    <t>Menü Wohnimmobilien</t>
  </si>
  <si>
    <t>Menú Residencial</t>
  </si>
  <si>
    <t>Show All</t>
  </si>
  <si>
    <t>Alles anzeigen</t>
  </si>
  <si>
    <t>MOSTRAR Todo</t>
  </si>
  <si>
    <t>EXIT</t>
  </si>
  <si>
    <t>ZURÜCK</t>
  </si>
  <si>
    <t>SALIR</t>
  </si>
  <si>
    <t>Simple Format</t>
  </si>
  <si>
    <t>Aggregiert</t>
  </si>
  <si>
    <t>Formato simplificado</t>
  </si>
  <si>
    <t>LTV details</t>
  </si>
  <si>
    <t>Pro LTV Band</t>
  </si>
  <si>
    <t>Detalles LTV</t>
  </si>
  <si>
    <t>View Details</t>
  </si>
  <si>
    <t>Details ansehen</t>
  </si>
  <si>
    <t>Ver Detalles</t>
  </si>
  <si>
    <t>1. LTV Distribution</t>
  </si>
  <si>
    <t>1. Verteilung der Beleihungsquoten</t>
  </si>
  <si>
    <t>1. Distribución LTV</t>
  </si>
  <si>
    <t>Unindexed  LTV</t>
  </si>
  <si>
    <t>Unindexed LTV</t>
  </si>
  <si>
    <t>Unindexierte Beleihungsquote</t>
  </si>
  <si>
    <t>Indexed  LTV</t>
  </si>
  <si>
    <t>Indexed LTV</t>
  </si>
  <si>
    <t>Indexierte Beleihungsquote</t>
  </si>
  <si>
    <t>2. Seasoning</t>
  </si>
  <si>
    <t>2. Bisherige Laufzeit</t>
  </si>
  <si>
    <t>8. Interest Rate Type</t>
  </si>
  <si>
    <t>8. Zinstyp</t>
  </si>
  <si>
    <t>10. Adverse Credit History/Non-Conforming</t>
  </si>
  <si>
    <t>11. Loans in arrears</t>
  </si>
  <si>
    <t>11. Rückständige Kredite</t>
  </si>
  <si>
    <t>12. Prior Ranks</t>
  </si>
  <si>
    <t>12. Vorrangige Verbindlichkeiten</t>
  </si>
  <si>
    <t>13. Provisioned Loans</t>
  </si>
  <si>
    <t>13. Kredite mit Rückstellungen/Wertberichtigungen</t>
  </si>
  <si>
    <t>14. Regional Distribution</t>
  </si>
  <si>
    <t>14. Regionale Verteilung</t>
  </si>
  <si>
    <t>14. COMUNIDADES AUTONOMAS</t>
  </si>
  <si>
    <t>Commercial Menu</t>
  </si>
  <si>
    <t>Menü gewerbliche Immobilien</t>
  </si>
  <si>
    <t>Menú comercial</t>
  </si>
  <si>
    <t>1. Internal Rating Scoring - Overall</t>
  </si>
  <si>
    <t>1. Internes Rating - Gesamt</t>
  </si>
  <si>
    <t>1. RATING INTERNOS general</t>
  </si>
  <si>
    <t>1a. Internal Rating Scoring - Property Quality</t>
  </si>
  <si>
    <t>1a. Internes Rating - Qualität der Immobilie</t>
  </si>
  <si>
    <t>1a. RATING INTERNOS -Calidad Propiedad</t>
  </si>
  <si>
    <t>1b. Internal Rating Scoring - Property Location</t>
  </si>
  <si>
    <t>1b. Internes Rating - Lage der Immobilie</t>
  </si>
  <si>
    <t>1b. RATINGS INTERNOS -Localización Propiedad</t>
  </si>
  <si>
    <t>1ab. Internal Rating Scoring - Property Quality AND Property Location</t>
  </si>
  <si>
    <t xml:space="preserve">1ab. Internal Rating Scoring -  Property Quality AND Property Location </t>
  </si>
  <si>
    <t>1ab. Internes Rating - Qualität UND Lage der Immobilie</t>
  </si>
  <si>
    <t>1ab. RATINGS INTERNOS -Calidad Propiedad y localización</t>
  </si>
  <si>
    <t>1c. Internal Rating Scoring - Borrower/Sponsor Quality</t>
  </si>
  <si>
    <t>1c. Internes Rating - Qualität des Kreditnehmers / des Bürgen</t>
  </si>
  <si>
    <t>1c. RATINGS INTRERNOS - Calidad Deudot</t>
  </si>
  <si>
    <t>1d. Internal Rating Scoring - Tenants Quality</t>
  </si>
  <si>
    <t>1d. Internes Rating - Qualität der Mieter</t>
  </si>
  <si>
    <t>1d. RATINGS INTERNOS - Calidad Arrendatario</t>
  </si>
  <si>
    <t>1cd. Internal Rating Scoring - Borrower/Sponsor AND Tenant Quality</t>
  </si>
  <si>
    <t>1cd. Internes Rating - Qualität des Kreditnehmers / des Bürgen UND der Mieter</t>
  </si>
  <si>
    <t>1cd. RATINGS INTERNOS -CALidad Deudor y Arrendatario</t>
  </si>
  <si>
    <t>2. LTV Distribution</t>
  </si>
  <si>
    <t>2.  LTV  Distribution</t>
  </si>
  <si>
    <t>2. Verteilung der Beleihungsquoten</t>
  </si>
  <si>
    <t>2. Distribución LTV</t>
  </si>
  <si>
    <t>3. Property  Type</t>
  </si>
  <si>
    <t>WA Remaining Term per LTV Band</t>
  </si>
  <si>
    <t>Durchschnittliche Restlaufzeit nach Beleihungsquoten</t>
  </si>
  <si>
    <t>Vida Restante ponderada por rango LTV</t>
  </si>
  <si>
    <t>4. Prior Ranks</t>
  </si>
  <si>
    <t>4. Vorrangige Verbindlichkeiten</t>
  </si>
  <si>
    <t>4. RANGOS SUPERIORES</t>
  </si>
  <si>
    <t>5. Loan Repayment Type</t>
  </si>
  <si>
    <t>5. Principal Repayment Pattern</t>
  </si>
  <si>
    <t>5. Rückzahlung des Kredits</t>
  </si>
  <si>
    <t>5. Tipo de amortización de Principal</t>
  </si>
  <si>
    <t>6. Interest Rate Type</t>
  </si>
  <si>
    <t>6.Zinstyp</t>
  </si>
  <si>
    <t>7. Current Remaining Term</t>
  </si>
  <si>
    <t>7. Bisherige Laufzeit</t>
  </si>
  <si>
    <t xml:space="preserve">7. VIDA RESTANTE </t>
  </si>
  <si>
    <t>8. Loans in arrears / Foreclosure</t>
  </si>
  <si>
    <t>8. Loans in Arrears / foreclosure proceedings</t>
  </si>
  <si>
    <t>8. Ruckstandige Kredite / Zwangsvollstreckungsverfahren</t>
  </si>
  <si>
    <t>8. MOROSIDAD y PROCEDIMIENTOS DE EJECUCIÓN</t>
  </si>
  <si>
    <t>9. Provisioned Loans</t>
  </si>
  <si>
    <t>9. Kredite Mit Ruckstellungen</t>
  </si>
  <si>
    <t>10. DSCR</t>
  </si>
  <si>
    <t xml:space="preserve">10. DSCR </t>
  </si>
  <si>
    <t>10. Schuldendienstdeckungsquote</t>
  </si>
  <si>
    <t>LTV per DSCR Bands</t>
  </si>
  <si>
    <t>Schuldendiensdeckungsquote Bandbreiten</t>
  </si>
  <si>
    <t>LTV por rangos de dSCR</t>
  </si>
  <si>
    <t>11. No. of  Tenants</t>
  </si>
  <si>
    <t>12. Regions</t>
  </si>
  <si>
    <t>12. Regionen</t>
  </si>
  <si>
    <t>12. COMUNIDADES AUTÓNOMAS</t>
  </si>
  <si>
    <t>LTV per Property Type</t>
  </si>
  <si>
    <t>Beleihungsquoten nach Immobilienart</t>
  </si>
  <si>
    <t>LTV por tipo de Propiedad</t>
  </si>
  <si>
    <t>13. Seasoning</t>
  </si>
  <si>
    <t>13. Bisherige Laufzeit</t>
  </si>
  <si>
    <t>13. ANTIGÜEDAD</t>
  </si>
  <si>
    <t>Show All Details</t>
  </si>
  <si>
    <t>Later Additions</t>
  </si>
  <si>
    <t xml:space="preserve">- For each programme (e.g. mortgage covered bonds, public sector covered bonds), please use a separate Template. </t>
  </si>
  <si>
    <t>- Bitte für jedes Pfandbrief/Covered-Bond-Programm ein separates Template benutzen. Wenn z.B. ein Rating sowohl für Öffentliche und für Hypotheken-Pfandbriefe gewünscht ist, verwenden Sie zwei separate Reporting-Templates.</t>
  </si>
  <si>
    <t>- Please do not use a "dummy" or mirror-version for the reporting, and please do not change given categories, range names or write-protections. Please conform with all formatting instructions (and embedded in-cell formatting, e.g in % or in bps). If your internal categories do not match the categories given in the template, please make an assumption and use a similar given category.  Please collect your assumptions in a separate mail. If you have any doubts or questions on the template do not hesistate to contact Moody's.</t>
  </si>
  <si>
    <t>- Bitte das Originalformat für das Reporting verwenden, d.h. keine gespiegelte Datei o.ä.  Belassen Sie die vorgegebenen Kategorien und schreibgeschützte Felder. Bitte beachten Sie das gewünschte Datenformat (z.B. in % oder in Monaten) und behalten Sie die voreingestellte Formatierung der Zellen bei. Sollten bestimmte vorgegebene Kategorien nicht zutreffen, bitte treffen Sie eine Annahme und verwenden eine möglichst ähnliche Kategorie. Teilen Sie Ihre Annahmen in einer separaten Email mit. Kontaktieren Sie Moody's bei Zweifeln.</t>
  </si>
  <si>
    <t xml:space="preserve">- El fichero debe de ser usado en su versión original –no se debe utilizar copia o prueba preliminar del fichero original. Favor de no cambiar las categorías dadas, los nombres de los rangos y protecciones. Si sus categorías internas no corresponden con las del fichero establezca los supuestos necesarios y utilice una categoría similar. Registre  los supuestos establecidos en otro email. No dude en contactar a Moody’s en caso de cualquier duda. </t>
  </si>
  <si>
    <t>Date of issuance</t>
  </si>
  <si>
    <t>Emissionsdatum</t>
  </si>
  <si>
    <t>Fecha de emisión</t>
  </si>
  <si>
    <t>Series number</t>
  </si>
  <si>
    <t>Serie</t>
  </si>
  <si>
    <t>Structured features</t>
  </si>
  <si>
    <t>weitere "strukturierte" Elemente</t>
  </si>
  <si>
    <t xml:space="preserve">Otras características </t>
  </si>
  <si>
    <t>Field to record features such as put/call options and structured coupons</t>
  </si>
  <si>
    <t>Feld zum Aufzeichnen von Funktionen wie Put / Call-Optionen und strukturierten Coupons</t>
  </si>
  <si>
    <t>Campo para reportar elementos como opción call/put y cupones estructurados</t>
  </si>
  <si>
    <t>Private Issuance?</t>
  </si>
  <si>
    <t>Privatplatzierung?</t>
  </si>
  <si>
    <t>Emisión privada?</t>
  </si>
  <si>
    <t>Y/N</t>
  </si>
  <si>
    <t>Hard coded minimum shift applied? (enter "NA" or number of bps)</t>
  </si>
  <si>
    <t>Falls immer eine Mindestverschiebung im Barwerttest modelliert wird, bitte bps angeben, ansonsten "NA".</t>
  </si>
  <si>
    <t>- celda no es aplicable -</t>
  </si>
  <si>
    <t>Loans in arrears &gt; 90 days (in %)</t>
  </si>
  <si>
    <t>Kredite &gt;90 Tage in Verzug (in %)</t>
  </si>
  <si>
    <t>Préstamos  morosos  &gt;90 dias (p.ej. 1% o 0.01)</t>
  </si>
  <si>
    <t>Loans to employees of group (in %)</t>
  </si>
  <si>
    <t>Kredite an Mitarbeiter (konzernweit) (in %)</t>
  </si>
  <si>
    <t>Préstamos a empleados del grupo (p.ej. 1% o 0.01)</t>
  </si>
  <si>
    <t>If house price indices are used</t>
  </si>
  <si>
    <t>Nur bei Verwendung von Hauspreisindizes</t>
  </si>
  <si>
    <t>Solamente si se usa valoraciones adjustadas por índices.</t>
  </si>
  <si>
    <t xml:space="preserve">Copies of this worksheet should be created (non-exhaustive list):
- if the Cover Pool assets are in different countries (separate sheet for each country)
- if the Cover Pool assets are in different currencies (separate sheet for each currency)
- Spanish issuers reporting both Total and Eligible Pool
- French FCTs with mortgages and non-eligible home loans
</t>
  </si>
  <si>
    <t>Für Pool-assets in anderen Ländern oder Währungen bitte ein Kopie dieses Tabellenblatts erstellen.</t>
  </si>
  <si>
    <t>Para proporcionar datos sobre la cartera elegible, por favor crear una copia de esta hoja. En caso de divisas diferentes o activas en otros países, por favor también usar una copia de esta hoja.</t>
  </si>
  <si>
    <t>No LTV data</t>
  </si>
  <si>
    <t>Keine LTV-Daten vorhanden</t>
  </si>
  <si>
    <t>no disponible</t>
  </si>
  <si>
    <t>Floating rate without discretionary parts</t>
  </si>
  <si>
    <t>Floating rate with discretionary parts</t>
  </si>
  <si>
    <t>Fixed (unspecified)</t>
  </si>
  <si>
    <t>Fest verzinslich (nicht spezifiziert)</t>
  </si>
  <si>
    <t>a tipo fijo (sin specificacion)</t>
  </si>
  <si>
    <t>Debtor concentration: aggregate exposure to largest 10 debtors (in %)</t>
  </si>
  <si>
    <t>Kumuliertes Exposure der größten 10 Kreditnehmer (in %)</t>
  </si>
  <si>
    <t>El porcentaje acumulado de los 10 mayores deudores</t>
  </si>
  <si>
    <t>Guarantor concentration: aggregate exposure to largest 10 debtors (in %)</t>
  </si>
  <si>
    <t>Kumuliertes Exposure der größten 10 Garanten (in %)</t>
  </si>
  <si>
    <t>El porcentaje acumulado de las 10 mayores entidades garantizadoras (p.ej. 25.4% o 0.264)</t>
  </si>
  <si>
    <t>Borrower concentration: aggregate exposure to largest 10 borrowers (in %)</t>
  </si>
  <si>
    <t>El porcentaje acumulado de los 10 mayores deudores (p.ej. 25.4% o 0.264)</t>
  </si>
  <si>
    <t>Tenant concentration: aggregate exposure to 10 largest tenants by rent roll (in %)</t>
  </si>
  <si>
    <t>10 Größtes (kumuliertes) Exposure ggü. einem Mieter, in %:</t>
  </si>
  <si>
    <t>El porcentaje acumulado de los 10 mayores arrendatarios (p.ej. 25.4% o 0.264)</t>
  </si>
  <si>
    <t>Property concentration: aggregate exposure to 10 largest properties by property value (in %)</t>
  </si>
  <si>
    <t>10 Größtes (kumuliertes) Exposure ggü. einer Immobilie, in %:</t>
  </si>
  <si>
    <t>El porcentaje acumulado de las 10 mayores propiedades (p.ej. 25.4% o 0.264)</t>
  </si>
  <si>
    <t>a tipo variable</t>
  </si>
  <si>
    <t>a tipo fijo</t>
  </si>
  <si>
    <t>Loans benefitting from a guarantee</t>
  </si>
  <si>
    <t>Loans benefitting from a subsidy (e.g. 6% or 0.06)</t>
  </si>
  <si>
    <t>Kredite mit Zuschuss (in %)</t>
  </si>
  <si>
    <t>Préstamos subvencionados (p.ej. 6% o 0.06)</t>
  </si>
  <si>
    <t>- Where there are syndicated loans ensure all data only reflects the Issuer's proportion of the loan.</t>
  </si>
  <si>
    <t>-Bei syndizierten Krediten bitte Daten immer auf den Anteil des Emittenten beziehen.</t>
  </si>
  <si>
    <t>-En caso de préstamos sindicados se debe reflejar sólo la parte en el activo del Emisor.</t>
  </si>
  <si>
    <t xml:space="preserve">If this worksheet is used, copies of the worksheet should be created:
- if the Cover Pool assets are in different countries (separate sheet for each country)
- if the Cover Pool assets are in different currencies (separate sheet for each currency)
- Spanish issuers reporting both Total and Eligible Pool
</t>
  </si>
  <si>
    <t>Falls dieses Tabellenblatt benutzt wird, bitte für Pool-assets in anderen Ländern oder Währungen ein Kopie dieses Tabellenblatts erstellen.</t>
  </si>
  <si>
    <t>Si se utiliza esta hoja, por favor crear una copia de esta pestaña para proporcionar datos sobre la cartera elegible. En caso de divisas diferentes o activas en otros países, por favor también usar una copia de esta pestaña.</t>
  </si>
  <si>
    <t>Please select value used</t>
  </si>
  <si>
    <t>Bitte auswählen</t>
  </si>
  <si>
    <t>Por favor, seleccione</t>
  </si>
  <si>
    <t>Market Value</t>
  </si>
  <si>
    <t>Marktwert</t>
  </si>
  <si>
    <t xml:space="preserve">valor de mercado </t>
  </si>
  <si>
    <t>Lending Value</t>
  </si>
  <si>
    <t>Beleihungswert</t>
  </si>
  <si>
    <t>valor de tasación</t>
  </si>
  <si>
    <t>Sonstiger Wertansatz</t>
  </si>
  <si>
    <t>Distinto método valoración</t>
  </si>
  <si>
    <t>10. SEASONING</t>
  </si>
  <si>
    <t>10. BISHERIGE LAUFZEIT</t>
  </si>
  <si>
    <t>10. ANTIGÜEDAD</t>
  </si>
  <si>
    <t>9b. Regions by Property Type</t>
  </si>
  <si>
    <t>9b. Regionen nach Immobilienart</t>
  </si>
  <si>
    <t>9b. C.C.A.A. por tipo de Propiedad</t>
  </si>
  <si>
    <t>SPV Borrower</t>
  </si>
  <si>
    <t>SPV Kreditnehmer</t>
  </si>
  <si>
    <t>Deudor es SPV</t>
  </si>
  <si>
    <t>Company (no SPV)</t>
  </si>
  <si>
    <t>Operatives Unternehmen</t>
  </si>
  <si>
    <t>Sociedad (no SPV)</t>
  </si>
  <si>
    <t>Government</t>
  </si>
  <si>
    <t>Staatl. Institution</t>
  </si>
  <si>
    <t>Estado</t>
  </si>
  <si>
    <t>Fund</t>
  </si>
  <si>
    <t>Fonds</t>
  </si>
  <si>
    <t>Fondo</t>
  </si>
  <si>
    <t>Private Individual Ownership</t>
  </si>
  <si>
    <t>Privatperson</t>
  </si>
  <si>
    <t>Propiedad persona física</t>
  </si>
  <si>
    <t>- by sq metre including shared property</t>
  </si>
  <si>
    <t>- nach Quadratmetern (inkl. gemeinschaftl. Eigentum)</t>
  </si>
  <si>
    <t>- por metro cuadradod incluida el resto de propiedad compartida</t>
  </si>
  <si>
    <t>- by sq metre excluding shared property</t>
  </si>
  <si>
    <t>- nach Quadratmetern (exkl. gemeinschaftl. Eigentum)</t>
  </si>
  <si>
    <t>- por metros cuadrados excluida elr esto de propiedad compartida</t>
  </si>
  <si>
    <t>- by rent generated from property</t>
  </si>
  <si>
    <t>- nach Miete</t>
  </si>
  <si>
    <t>- por la renta generada por la propiedad</t>
  </si>
  <si>
    <t>-other</t>
  </si>
  <si>
    <t>- andere Methode</t>
  </si>
  <si>
    <t>- otros</t>
  </si>
  <si>
    <t xml:space="preserve">subsovereign level, e.g. </t>
  </si>
  <si>
    <t>in Loan currency</t>
  </si>
  <si>
    <t>in der Währung des Kredits</t>
  </si>
  <si>
    <t>en la divisa del préstamo</t>
  </si>
  <si>
    <t>in DEFAULT CURRENCY, See CURRENCY CONVERSION</t>
  </si>
  <si>
    <t>in der STANDARDWÄHRUNG, vgl. WÄHRUNGSUMRECHUNG</t>
  </si>
  <si>
    <t>usando la DIVISA ESTÁNDAR -ver CONVERSIÓN DE DIVISAS</t>
  </si>
  <si>
    <t>End of REMAINING TERM</t>
  </si>
  <si>
    <t>Letzter Tag der VERBLEIBENDEN LAUFZEIT</t>
  </si>
  <si>
    <t>Fin de la vida restante</t>
  </si>
  <si>
    <t>Loans to group entities (in %)</t>
  </si>
  <si>
    <t>Kredite an konzerninterne/verbundene Kreditnehmer Kredite mit Zuschuss (in %)</t>
  </si>
  <si>
    <t>Préstamos a deudores dentro del grupo de emisor (p.ej. 1% o 0.01)</t>
  </si>
  <si>
    <t>"NA" if Loan is not backed by a mortgage</t>
  </si>
  <si>
    <t>Wenn keine Hypothek vorhanden ist, "NA".</t>
  </si>
  <si>
    <t>Si no está garantizado por hipoteca: "n/a".</t>
  </si>
  <si>
    <t>Sub-sovereign level, e.g. Brandenburg, Wales. Chose from list after selecting country. F9 to update list. Apply name of sovereign, if sovereign debt. Please use only the given categories.</t>
  </si>
  <si>
    <t>Länderebene, z.B. Brandenburg. Bitte von Drop-Down Liste auswählen (Liste aktualisiert mit F9). Name des Staates, wenn der Schuldner ein Staat ist. Bitte nur die vorgegebenen Regionen benutzen.</t>
  </si>
  <si>
    <t>por ejemplo, Murcia, Madrid.</t>
  </si>
  <si>
    <t>This will vary country to country but may for example be municipality or local authority. This should be the smallest sub-region level for which econonic data is available</t>
  </si>
  <si>
    <t>Länderspezifisch, kann z.B. Gemeinde oder Gebietskörperschaft sein. Es sollte die kleinste Unterregion sein, für die Daten verfügbar sind.</t>
  </si>
  <si>
    <t>Varía dependiendo del país, p.ej. Si se trata de un ente local o regional. En el caso de España se trata de Provincia.</t>
  </si>
  <si>
    <t>The current LOAN BALANCE in the DEFAULT CURRENCY (use the exchange rate as per CURRENCY CONVERSION as required)</t>
  </si>
  <si>
    <t>Der aktuelle KREDITSALDO in der STANDARDWÄHRUNG (falls nötig Wechselkurs gemäß der WÄHRUNGSUMRECHNUNG verwenden).</t>
  </si>
  <si>
    <t>Saldo actual del PRÉSTAMO en DIVISA ESTÁNDAR (utilizar el tipo de cambio de acuerdo a la conversión de divisa requerida).</t>
  </si>
  <si>
    <t>The current LOAN BALANCE In currency of the loan</t>
  </si>
  <si>
    <t>Aktueller KREDITSALDO in der Währung des Kredits.</t>
  </si>
  <si>
    <t xml:space="preserve"> Saldo Vivo en la Divis del Préstamo</t>
  </si>
  <si>
    <t>After any hedges if applicable. Only complete for fixed interest loans.</t>
  </si>
  <si>
    <t>Nach Hedging, falls zutreffend. Nur für festverzinsliche Kredite ausfüllen.</t>
  </si>
  <si>
    <t xml:space="preserve"> después de derivados si aplica. Sólo completar para préstamos a tipo fijo.</t>
  </si>
  <si>
    <t>See definition tab. After any hedges if applicable. Only complete for fixed rate loans</t>
  </si>
  <si>
    <t>Vgl. Tabellenblatt "Definitions". Nach Sicherungsgeschäften, falls zutreffend. Nur für festverzinsliche Kredite ausfüllen.</t>
  </si>
  <si>
    <t>Ver definiciones. Después de derivados si es aplicable. Sólo cpmpletar para préstamos a tipo fijo.</t>
  </si>
  <si>
    <t>After any hedges if applicable. Margin over BASIS (see definition tab). Only complete for floating rate loans</t>
  </si>
  <si>
    <t>Nach Sicherungsgeschäften, falls zutreffend.  Marge über BASISZINS (Vgl. Tabellenblatt "Definitions"). Nur für variabel verzinsliche Kredite ausfüllen.</t>
  </si>
  <si>
    <t xml:space="preserve"> Después de derivados si aplica. Margen sobre la base. Completar sólo en caso de préstamos a tipo variable.</t>
  </si>
  <si>
    <t>In options below, BPI stands for Bankrupcty Proceeding Initiated, and Fce for Foreclosure.</t>
  </si>
  <si>
    <t>En las opciones siguientes, "BPI" indica que el proceso concursal se ha iniciado y "FCE" en caso de realización de bienes o garantías</t>
  </si>
  <si>
    <t>Long term senior unsecured rating should be used</t>
  </si>
  <si>
    <t>Langfristiges Rating für vorrangige unbesicherte Verbindlichkeiten</t>
  </si>
  <si>
    <t>se debe utilizar la calificación no subordinada a largo plazo</t>
  </si>
  <si>
    <t>Name of largest Government Guarantor / Owner / Sponsor</t>
  </si>
  <si>
    <t>Name des Staates oder der Gebietskörperschaft, die Garant / Eigentümer / Sponsor des Schuldners ist</t>
  </si>
  <si>
    <t>Nombre del Gobierno de mayor tamaño, sea garantizador / propietario / patrocinador</t>
  </si>
  <si>
    <t>Largest Government Guarantor / Owner / Sponsor identifier number</t>
  </si>
  <si>
    <t>Ident-Nummer Garant / Eigentümer / Sponsor</t>
  </si>
  <si>
    <t>Número de identificación del gobierno garantizador / propietario / patrocinador</t>
  </si>
  <si>
    <t>Largest Government Guarantor / Owner / Sponsor: Moody's-Rating</t>
  </si>
  <si>
    <t>Garant / Eigentümer / Sponsor: Moody's-Rating</t>
  </si>
  <si>
    <t>Rating Moody's del gobierno garantizador / propietario / patrocinador</t>
  </si>
  <si>
    <t>Largest Government Guarantor / Owner / Sponsor: S&amp;P-Rating</t>
  </si>
  <si>
    <t>Garant / Eigentümer / Sponsor: S&amp;P-Rating</t>
  </si>
  <si>
    <t>Rating S&amp;P del gobierno garantizador / propietario / patrocinador</t>
  </si>
  <si>
    <t>Largest Government Guarantor / Owner / Sponsor: Fitch-Rating</t>
  </si>
  <si>
    <t>Garant / Eigentümer / Sponsor: Fitch-Rating</t>
  </si>
  <si>
    <t>Rating Fitch del gobierno garantizador / propietario / patrocinador</t>
  </si>
  <si>
    <t>Largest Government Guarantor / Owner / Sponsor: INTERNAL RATING</t>
  </si>
  <si>
    <t>Garant / Eigentümer / Sponsor: INTERNES RATING</t>
  </si>
  <si>
    <t>RATING INTERNO del gobierno garantizador / propietario / patrocinador</t>
  </si>
  <si>
    <t>Country in which largest Government Guarantor / Owner / Sponsor is based</t>
  </si>
  <si>
    <t>Land, in dem der Garant / Eigentümer / Sponsor ansässig ist</t>
  </si>
  <si>
    <t>País del gobierno garantizador / propietario / patrocinador</t>
  </si>
  <si>
    <t>Region of largest Government Guarantor / Owner / Sponsor</t>
  </si>
  <si>
    <t>Region des Garanten / Eigentümer / Sponsors</t>
  </si>
  <si>
    <t>Región del gobierno garantizador / propietario / patrocinador</t>
  </si>
  <si>
    <t>Please use only the given categories</t>
  </si>
  <si>
    <t>Bitte nur die vorgegebenen Regionen benutzen</t>
  </si>
  <si>
    <t>Postal Code of Debtor</t>
  </si>
  <si>
    <t>Postleitzahl des Schuldners</t>
  </si>
  <si>
    <t>Código postal del DEUDOR</t>
  </si>
  <si>
    <t>Postal Code of largest Government Guarantor / Owner / Sponsor</t>
  </si>
  <si>
    <t>Postleitzahl des Garanten / Eigentümer / Sponsors</t>
  </si>
  <si>
    <t>Código postal del gobierno garantizador / propietario  / patrocinador</t>
  </si>
  <si>
    <t>For non-guaranteed exposures, please state again the name of the DEBTOR. Government = sovereign, region, federal state, province, department, municipality or equivalent. Complete legal name e.g. United Kingdom of Great Britain and Northern Ireland. If there is more than one Government Guarantor / Owner / Sponsor, please list the largest one only.</t>
  </si>
  <si>
    <t>Falls nicht garantiert, hier bitte nochmals den Namen des SCHULDNERS anführen. Gebietskörperschaft = Region, Bundesland, Provinz, Departement, Stadt, Gemeinde oder gleichwertig. Vollständiger rechtlicher Name, z.B. Bundesrepublik Deutschland, Freistaat Bayern.</t>
  </si>
  <si>
    <t>Para las exposiciones no garantizadas, indique otra vez, por favor, el nombre del deudor. Gobierno = soberaneo, región, estado federal, provincia, departamento, municipalidad o equivalente. Introduzca el nombre legal entero, p.ej., Región de Murcia o Junta de Andalucía. Si existe más de un Gobierno Garantizador / Propietario / Patrocinador, añade, por favor, sólo el de mayor tamaño.</t>
  </si>
  <si>
    <t xml:space="preserve">Complete legal name e.g. United Kingdom of Great Britain and Northern Ireland </t>
  </si>
  <si>
    <t>Vollständiger rechtlicher Name, z.B. Bundesrepublik Deutschland, Freistaat Bayern.</t>
  </si>
  <si>
    <t>Nombre legal entero, p.ej., Región de Murcia</t>
  </si>
  <si>
    <t>Largest Government Guarantor / Owner / Sponsor</t>
  </si>
  <si>
    <t>Größter Garant / Eigentümer / Sponsor (Staat oder Gebietskörperschaft)</t>
  </si>
  <si>
    <t>El más grande Gobierno Garantizador /  Propietario / Patrocinador</t>
  </si>
  <si>
    <t>Please indicate whether the government listed in column 26 is the Guarantor, Owner or Sponsor of the debtor</t>
  </si>
  <si>
    <t>Bitte geben Sie an, ob der Staat oder die Gebietskörperschaft in Spalte 26 der Garant, Eigentümer oder Sponsor des Schuldners ist.</t>
  </si>
  <si>
    <t>Por favor, indique si la entidad de la columna 26 es el Gobierno avalista, propietario o patrocinador del deudor.</t>
  </si>
  <si>
    <t>Is there more than one Government Guarantor / Owner / Sponsor?</t>
  </si>
  <si>
    <t>Gibt es mehr als einen Garanten / Eigentümer / Sponsor?</t>
  </si>
  <si>
    <t>¿Existe más de un Gobierno garantizador / propietario / patrocinador ?</t>
  </si>
  <si>
    <t>Yes / No</t>
  </si>
  <si>
    <t>J / N</t>
  </si>
  <si>
    <t>Sí / No</t>
  </si>
  <si>
    <t>Ownership Position</t>
  </si>
  <si>
    <t>Anteilsbesitz</t>
  </si>
  <si>
    <t>Participación</t>
  </si>
  <si>
    <t>Only in case column 36 indicates "Owner". E.g. 26.4% oder 0.264</t>
  </si>
  <si>
    <t>Nur relevant, wenn in Spalte 36 "Eigentümer" gewählt wurde. Z.B. 26.4% oder 0.264</t>
  </si>
  <si>
    <t>Sólo en el caso de que la columna 36 indique "propietario". P.ej. 26.4% o 0.264.</t>
  </si>
  <si>
    <t>Sector</t>
  </si>
  <si>
    <t>Sektor</t>
  </si>
  <si>
    <t>Only for debtors classified as "Others" in column 3.</t>
  </si>
  <si>
    <t>Nur falls in Spalte 3 als "Sonstige" gekennzeichnet.</t>
  </si>
  <si>
    <t>Sólo para los deudores clasificados como "Otros" en la columna 3.</t>
  </si>
  <si>
    <t>If not guaranteed, please state here again the DEBTOR ID.</t>
  </si>
  <si>
    <t>Numerische Referenznummer. Falls nicht garantiert, hier bitte nochmals die ID Nummer des SCHULDNERS angeben.</t>
  </si>
  <si>
    <t>Si no tiene garantía o aval, por favor escriba de nuevo el Número de Identificación del Deudor.</t>
  </si>
  <si>
    <t>Guarantor</t>
  </si>
  <si>
    <t>Garant</t>
  </si>
  <si>
    <t>Avalista</t>
  </si>
  <si>
    <t>Owner</t>
  </si>
  <si>
    <t>Eigentümer</t>
  </si>
  <si>
    <t>Propietario</t>
  </si>
  <si>
    <t>Sponsor</t>
  </si>
  <si>
    <t>Patrocinador</t>
  </si>
  <si>
    <t>Promotion of tourism</t>
  </si>
  <si>
    <t>Tourismusförderung</t>
  </si>
  <si>
    <t>Promoción turística</t>
  </si>
  <si>
    <t>Culture/entertainment (theatres, radio and TV stations, libraries, etc.)</t>
  </si>
  <si>
    <t>Kultur/Unterhaltung (Theater, Radio und Fersehsender, Bibliothek, etc.)</t>
  </si>
  <si>
    <t>Cultura / Espectáculo (teatros, radio y canales de televisión, bibliotecas...)</t>
  </si>
  <si>
    <t>Sport</t>
  </si>
  <si>
    <t>Deporte</t>
  </si>
  <si>
    <t>Parking lot</t>
  </si>
  <si>
    <t>Parkhäuser</t>
  </si>
  <si>
    <t>Aparcamiento</t>
  </si>
  <si>
    <t>Education</t>
  </si>
  <si>
    <t>Bildung/Erziehung</t>
  </si>
  <si>
    <t>Educación</t>
  </si>
  <si>
    <t>Healthcare</t>
  </si>
  <si>
    <t>Gesundheit</t>
  </si>
  <si>
    <t>Asistencia Sanitaria</t>
  </si>
  <si>
    <t>Childcare</t>
  </si>
  <si>
    <t>Kinderbetreuung</t>
  </si>
  <si>
    <t>Infancia</t>
  </si>
  <si>
    <t>Care for the elderly</t>
  </si>
  <si>
    <t>Altenpflege</t>
  </si>
  <si>
    <t>Asistencia para los mayores</t>
  </si>
  <si>
    <t>Water supply</t>
  </si>
  <si>
    <t>Wasserversorgung</t>
  </si>
  <si>
    <t>Suministro de Agua</t>
  </si>
  <si>
    <t>Waste collection</t>
  </si>
  <si>
    <t>Abfallentsorgung</t>
  </si>
  <si>
    <t>Basuras</t>
  </si>
  <si>
    <t>Waste water treatment</t>
  </si>
  <si>
    <t>Abwasserbeseitigung</t>
  </si>
  <si>
    <t>Tratamiento de aguas residuales</t>
  </si>
  <si>
    <t>Energy</t>
  </si>
  <si>
    <t>Energieversorgung</t>
  </si>
  <si>
    <t>Energía</t>
  </si>
  <si>
    <t>Fire fighters</t>
  </si>
  <si>
    <t>Feuerwehr</t>
  </si>
  <si>
    <t>Bomberos</t>
  </si>
  <si>
    <t>Youth care</t>
  </si>
  <si>
    <t>Jugendhilfe</t>
  </si>
  <si>
    <t>Juventud</t>
  </si>
  <si>
    <t>Social housing</t>
  </si>
  <si>
    <t>Sozialer Wohnungsbau</t>
  </si>
  <si>
    <t>Vivienda social</t>
  </si>
  <si>
    <t>Other / No Data</t>
  </si>
  <si>
    <t>Internal Rating: Quality of largest tenant</t>
  </si>
  <si>
    <t>Internes Rating: Mieterqualitaet (größter Mieter)</t>
  </si>
  <si>
    <t>RATING INTERNO: Calidad del mayor arrendatario</t>
  </si>
  <si>
    <t>Borrower Rating</t>
  </si>
  <si>
    <t>Kreditnehmer-Rating</t>
  </si>
  <si>
    <t>RATING del deudor</t>
  </si>
  <si>
    <t>Rating of largest tenant</t>
  </si>
  <si>
    <t xml:space="preserve">Rating Größter Mieter </t>
  </si>
  <si>
    <t>Reting del mayor arrendador</t>
  </si>
  <si>
    <t>Amortisation</t>
  </si>
  <si>
    <t>Amortisierung</t>
  </si>
  <si>
    <t>Amortización</t>
  </si>
  <si>
    <t>Largest tenant: Percentage sq meters</t>
  </si>
  <si>
    <t>Anteil des größten Mieters (nach Quadratmetern, in %)</t>
  </si>
  <si>
    <t>Mayor arrendatario %aje en metros cuadrados</t>
  </si>
  <si>
    <t>WA Rating of all tenants</t>
  </si>
  <si>
    <t>gewichtetes Durchschnittsrating aller Mieter</t>
  </si>
  <si>
    <t>Rating medio ponderado de los arrendadores</t>
  </si>
  <si>
    <t>- For the treatment of assets / Covered Bonds which are subject to puts or calls please see OPTIONAL ELEMENTS.</t>
  </si>
  <si>
    <t>- Falls Puts/Calls o.ä. auf Asset- oder Bond-Seite eingesetzt werden, bitte Erläuterungen fuer OPTIONALE ELEMENTE beachten.</t>
  </si>
  <si>
    <t>LOAN BALANCE of Covered Bonds in DEFAULT CURRENCY (use spot rate for currency conversion)</t>
  </si>
  <si>
    <t>KREDITSALDO der GEDECKTEN SCHULDVERSCHREIBUNGEN in STANDARDWÄHRUNG (zur WÄHRUNGSUMRECHUNG Spot Rate am BERICHTSDATUM heranziehen)</t>
  </si>
  <si>
    <t>Valor de las Cedulas en la DIVISA ESTÁNDAR</t>
  </si>
  <si>
    <t>LTVs provided consider:</t>
  </si>
  <si>
    <t>Angegebene Beleihungsquoten beruecksichtigen:</t>
  </si>
  <si>
    <t xml:space="preserve">LTV incluye </t>
  </si>
  <si>
    <t>(Should ideally consider, aggregated by debtor, all prior, equal and junior  Ranks)</t>
  </si>
  <si>
    <t>Im Idealfall alle vorrangigen, gleichrangigen und nachrangigen Kredite</t>
  </si>
  <si>
    <t xml:space="preserve">Idealmente incluye rangos superior, igual o inferior. </t>
  </si>
  <si>
    <t>Own senior and equal ranks</t>
  </si>
  <si>
    <t>Eigene Vor- und Gleichränge</t>
  </si>
  <si>
    <t>rangos superiores e iguales</t>
  </si>
  <si>
    <t>3rd party senior and equal ranks</t>
  </si>
  <si>
    <t>Fremde Vor- und Gleichränge</t>
  </si>
  <si>
    <t>Own junior ranks</t>
  </si>
  <si>
    <t>Eigene Nachränge</t>
  </si>
  <si>
    <t>rangos inferiores</t>
  </si>
  <si>
    <t>3rd junior ranks</t>
  </si>
  <si>
    <t>Fremde Nachränge</t>
  </si>
  <si>
    <t>No information on ranking</t>
  </si>
  <si>
    <t>Keine Information bzgl Rangigkeit</t>
  </si>
  <si>
    <t>only part(s) of the loan registered in the cover pool</t>
  </si>
  <si>
    <t>Nur Teile des Kredites im Deckungsstock</t>
  </si>
  <si>
    <t>Other (please provide description)</t>
  </si>
  <si>
    <t>Sonstige (Bitte beschreiben)</t>
  </si>
  <si>
    <t>Are Swaps included in the Cover Pool?</t>
  </si>
  <si>
    <t>Sind Swaps im Deckungsstock registriert?</t>
  </si>
  <si>
    <t>Others - EEA</t>
  </si>
  <si>
    <t>Andere - EWR</t>
  </si>
  <si>
    <t>Otro - EEE</t>
  </si>
  <si>
    <t>Others - Non EEA</t>
  </si>
  <si>
    <t>Andere - Nicht EWR</t>
  </si>
  <si>
    <t>Otro - No EEE</t>
  </si>
  <si>
    <t>Office (unspecified)</t>
  </si>
  <si>
    <t>Bürogebäude (unspezifiziert)</t>
  </si>
  <si>
    <t>Oficinas (sin specificacion)</t>
  </si>
  <si>
    <t>Retail (unspecified)</t>
  </si>
  <si>
    <t>Handel (unspezifiziert)</t>
  </si>
  <si>
    <t>Locales comerciales (sin specificacion)</t>
  </si>
  <si>
    <t>Industrial unspecified</t>
  </si>
  <si>
    <t>Industriegebäude (unspezifiziert)</t>
  </si>
  <si>
    <t>Industrial (sin specificacion)</t>
  </si>
  <si>
    <t>Multifamily unspecified</t>
  </si>
  <si>
    <t>Mehrfamilienhäuser (unspezifiziert)</t>
  </si>
  <si>
    <t>Commercial Loan by Loan data</t>
  </si>
  <si>
    <t>Gewerbliche Immobilienkredite - Daten auf Einzelkreditbasis</t>
  </si>
  <si>
    <t>Información CARTERA COMERCIAL Préstamo a Préstamo</t>
  </si>
  <si>
    <t>This tab should include information on the following: 1) all COMMERCIAL LOANS where COMMERCIAL LOANS make up more than 35% of the COVER POOL by value; 2) if all commercial loans make up less than 35% of the COVER POOL by value, complete this at least for all COMMERCIAL LOANS exceeding 0.5% of the entire COVER POOL; Moody's encourages to list also all other COMMERCIAL LOANS.</t>
  </si>
  <si>
    <t>Bitte geben Sie in diesem Tabellenblatt alle GEWERBLICHEN IMMOBILIENKREDITE an, wenn diese mehr als 35% der DECKUNGSMASSE ausmachen.
Falls GEWERBLICHEN IMMOBILIENKREDITE weniger als 35% der DECKUNGSMASSE ausmachen, koennen die Daten alternativ im Tabellenblatt "Commercial Stratified" aggregiert angegeben werden. Moody's bevorzugt allerdings Daten auf Einzelkreditbasis.
Bitte in jedem Fall alle GEWERBLICHEN IMMOBILIENKREDITE die mehr als 0.5% der gesamten DECKUNGSMASSE ausmachen, in diesem Tabellenblatt auf Einzelkreditbasis angeben.</t>
  </si>
  <si>
    <t xml:space="preserve">Esta hoja debe incluir la siguiente información: 
1) todos los PRÉSTAMOS COMERCIALES si estos representan más del  35% de la CARTERA HIPOTECARIA; 
2) si todos los PRÉSTAMOS COMERCIALES representan menos del  35% de la cartera hipotecaria,  incluya información de todos aquellos prestamos que excedan el 0.50% de la CARTERA SUBYACENTE. Moody’s fomenta listar todos los otros PRESTAMOS COMERCIALES. 
</t>
  </si>
  <si>
    <t xml:space="preserve">Total outstanding of loans exceeding 0.5% of the Cover Pool: </t>
  </si>
  <si>
    <t>Gesamte ausstehende Kredite, welche mehr als 0.5% der DECKUNGSMASSE ausmachen:</t>
  </si>
  <si>
    <t>Saldo Vivo de préstamos que exceden el 0.50%m de la CARTERA SUBYACENTE:</t>
  </si>
  <si>
    <t>Number of loans exceeding 0.5% of the Cover Pool:</t>
  </si>
  <si>
    <t>Anzahl der Kredite, welche mehr als 0.5% der DECKUNGSMASSE ausmachen:</t>
  </si>
  <si>
    <t>Número de préstamos que exceden el 0.50%m de la CARTERA SUBYACENTE:</t>
  </si>
  <si>
    <t>- Commercial LOANS refer to loans which do not qualify as residential, are not backed by a company related to the public sector, but are backed by a mortgage. See also definition of COMMERCIAL LOAN.</t>
  </si>
  <si>
    <t>- Gewerbedarlehen beziehen sich auf Kredite welche nicht als wohnwirtschaftlich kategorisiert werden, nicht von einem Unternehmen des öffentlichen Sektors besichert sind, aber durch eine Hypothek besichert werden. Siehe auch die Definition von Gewerbedarlehen.</t>
  </si>
  <si>
    <t>-PRÉSTAMOS comerciales está referido  a aquellos que no califican como residenciales, no se encuentran garantizados por el sector público, pero se encuentran garantizados por una hipoteca. Ver también la definición de PRÉSTAMO COMERCIAL.</t>
  </si>
  <si>
    <t>- LOAN BALANCE refers to the current mortgage balance (at the REPORT DATE).  For all LTV calculations, the LTV should be calculated as the LOAN BALANCE plus all prior, equal and subordinated ranking loans secured on the same property, divided by the appropriate property value.</t>
  </si>
  <si>
    <t>- KREDITSALDO bezieht sich auf den Kreditsaldo zum BERICHTSDATUM. Fuer Berechnungen der Beleihungsquote, bitte den KREDITSALDO heranziehen plus aller vor-, gleich- und nachrangigen Kredite, die durch dieselbe Immobilie besichert sind, geteilt durch den geeigneten Wert der Immobilie.</t>
  </si>
  <si>
    <t>- Amounts should be entered in loan currency unless otherwise specified</t>
  </si>
  <si>
    <t>- Beträge in Währung des Kredits, soweit nicht anders angegeben.</t>
  </si>
  <si>
    <t>- Las cantidades se deben dar en la divisa del Préstamo salvo que se indique lo contrario</t>
  </si>
  <si>
    <t>- Where there are single loans secured by multiple properties located in more than one country the LOAN BALANCE should be split into multiple loans, with one loan for each property in a different country. The LOAN BALANCE should be apportioned pro rata amongst the various countries based on the applicable value for each of the properties (see LTV).</t>
  </si>
  <si>
    <t>- Ein Kredit, der durch mehrere Immobilien in mehr als einem Land besichert wird sollte in separate Kredite aufgeteilt werden, je ein Kredit pro Immobilie in einem Land. Der KREDITSALDO sollte auf Basis des jeweiligen Wertes (Vgl. BELEIHUNGSQUOTE) der die Immobilie pro rata auf die Länder aufgeteilt werden .</t>
  </si>
  <si>
    <t>- En caso de préstamos garantizados por varias propiedades en más de un país, el Saldo Vivo se debe dividir en diversas cantidades, con un sub-préstamo por cada país. El Saldo Vivo debe dividirse porrata entre los países basándose en el valor de la propiedad (ver LTV).</t>
  </si>
  <si>
    <t>- Certain data is requested in both DEFAULT CURRENCY (CURRENCY of country in which assets are based) and in the currency of the LOAN. In most cases these currencies / amounts will be the same.</t>
  </si>
  <si>
    <t>In manchen Fällen wird sowohl nach der STANDARDWÄHRUNG (Wahrung des Landes in welchem sich der Vermögenswert befindet) als auch nach der Währung des Kredits gefragt. In den meisten Fällen sind dies die gleichen Währungen.</t>
  </si>
  <si>
    <t>- Algunos datos se piden en la DIVISA ESTÁNDAR (Divisa del país donde se encuentra el activo) y en la DIVISA del Préstamo. En la mayoría de los casos la divisa es la misma.</t>
  </si>
  <si>
    <t>Where there are syndicated loans ensure all data only reflects the Issuer's proportion of the loan (although for relevant fields using a proportion would not be appropriate, for example prior ranks where the full amount of any prior ranks should be disclosed).</t>
  </si>
  <si>
    <t>Bei syndizierten Krediten bitte nur die Daten angeben, die sich auf den Anteil des Emittenten beziehen (soweit zweckmaessig - bei VORRANGIGEN VERBINDLICHKEITEN ist beispielweise eine Angabe aller vorrangigen Verbindlichkeiten angebracht).</t>
  </si>
  <si>
    <t>-En caso de préstamos sindicados se debe reflejar sólo la parte en el activo del Emisor (aunque en caso de algunos campos como rangos superiores se debe especificar toda la cantidad).</t>
  </si>
  <si>
    <t>Loan information</t>
  </si>
  <si>
    <t>Informationen bzgl. des Kredits</t>
  </si>
  <si>
    <t>Información del PRÉSTAMO</t>
  </si>
  <si>
    <t>Borrower (DEBTOR) Information</t>
  </si>
  <si>
    <t>Informationen bzgl. des SCHULDNERS</t>
  </si>
  <si>
    <t>Información del deudor</t>
  </si>
  <si>
    <t>Property information (if more than one property backs the loan, information should be for all properties backing loan)</t>
  </si>
  <si>
    <t>Informationen bzgl. der Immobilie. Wenn mehr als eine Immobilie als Sicherheiten dienen, sollten Daten über alle Immobilien angegeben werden.</t>
  </si>
  <si>
    <t>Información de la propiedad (en caso de que varias propiedades garanticen el mismo p´restamo, agregar estos valores)</t>
  </si>
  <si>
    <t>Tenant Information (for all properties backing each loan)</t>
  </si>
  <si>
    <t>Informationen bzgl. des Mieters (für jede Immobilie, die als Sicherheit für den Kredit dient)</t>
  </si>
  <si>
    <t xml:space="preserve">Infromación del arrendatario </t>
  </si>
  <si>
    <t>Internal Rating</t>
  </si>
  <si>
    <t>Internes Rating</t>
  </si>
  <si>
    <t>Loan ID</t>
  </si>
  <si>
    <t>Núm. De Identificación del Préstamo</t>
  </si>
  <si>
    <t>numeric reference number</t>
  </si>
  <si>
    <t>Bitte numerisch</t>
  </si>
  <si>
    <t>Préstamo ID</t>
  </si>
  <si>
    <t>DIVISA del Préstamo</t>
  </si>
  <si>
    <t>SALDO VIVO del PRÉSTAMO - 1</t>
  </si>
  <si>
    <t>The current LOAN BALANCE - 1 in DEFAULT CURRENCY (=functional currency, e.g. for Austrian issuers: EUR).</t>
  </si>
  <si>
    <t>Aktueller KREDITSALDO - 1 in STANDARDWÄHRUNG (=funktionale Währung, für deutsche Emittenten i.d.R. EUR).</t>
  </si>
  <si>
    <t>Saldo vivo del Préstamo - 1 en la DIVISA ESTÁNDAR</t>
  </si>
  <si>
    <t>SALDO VIVO del PRÉSTAMO - 2</t>
  </si>
  <si>
    <t>The current LOAN BALANCE - 1 in currency of the loan.</t>
  </si>
  <si>
    <t>Aktueller KREDITSALDO - 1 in der Währung des Kredits.</t>
  </si>
  <si>
    <t>Saldo vivo del Préstamo - 1 en la DIVISA del Préstamo</t>
  </si>
  <si>
    <t>Committed Further Advance</t>
  </si>
  <si>
    <t>Vereinbarte weitere Auszahlung</t>
  </si>
  <si>
    <t>Saldo Disponible</t>
  </si>
  <si>
    <t>Total of all pre agreed further advances that have not yet been drawn</t>
  </si>
  <si>
    <t>Gesamte vereinbarte weitere Auszahlungen, die noch nicht in Anspruch genommen wurden</t>
  </si>
  <si>
    <t>Cantidades comprometidas todavía sin disponer</t>
  </si>
  <si>
    <t>Scheduled LOAN BALANCE at maturity (before refinance) - 1</t>
  </si>
  <si>
    <t>Planmäßiger KREDITSALDO zum Fälligkeitsdatum - 1</t>
  </si>
  <si>
    <t>Saldo vivo del Préstamo a vencimiento (antes de refinanciación) - 1</t>
  </si>
  <si>
    <t>This is the value of the LOAN expected to be outstanding at maturity prior to refinance (in DEFAULT CURRENCY)</t>
  </si>
  <si>
    <t>In STANDARDWÄHRUNG. Erwarteter ausstehender Wert des Kredits zum Fälligkeitsdatum (nicht zum Zinsanpassungstermin). D.h. letzte Tilgungszahlung, oder bei endfaelligen der volle Betrag.</t>
  </si>
  <si>
    <t>Valor que se espera del Préstamo en el momento de refinanciación (En la DIVISA ESTÁNDARD)</t>
  </si>
  <si>
    <t>Scheduled LOAN BALANCE at maturity (before refinance)  - 2</t>
  </si>
  <si>
    <t>Planmäßiger KREDITSALDO zum Fälligkeitsdatum  - 2</t>
  </si>
  <si>
    <t>Saldo vivo del Préstamo a vencimiento (antes de refinanciación) - 2</t>
  </si>
  <si>
    <t>This is the value of the LOAN expected to be outstanding at maturity prior to refinance (in currency of LOAN)</t>
  </si>
  <si>
    <t>In Waehrung des Kredits. Erwarteter ausstehender Wert des Kredits zum Fälligkeitsdatum (nicht zum Zinsanpassungstermin). D.h. letzte Tilgungszahlung, oder bei endfaelligen der volle Betrag.</t>
  </si>
  <si>
    <t>Valor que se espera del Préstamo en el momento de refinanciación (En la DIVISA del Préstamo)</t>
  </si>
  <si>
    <t>REMAINING TERM in months</t>
  </si>
  <si>
    <t>VERBLEIBENDE LAUFZEIT in Monaten</t>
  </si>
  <si>
    <t>VIDA RESTANTE en meses</t>
  </si>
  <si>
    <t>REMAINING TERM of loan in months</t>
  </si>
  <si>
    <t>VERBLEIBENDE LAUFZEIT des Kredits in Monaten</t>
  </si>
  <si>
    <t>Palzo de meses entre la FECHA de INFORME y el vencimiento del Préstamo</t>
  </si>
  <si>
    <t>Scheduled Maturity date on Loan (dd/mm/yyyy)</t>
  </si>
  <si>
    <t>Planmäßiges Fälligkeitsdatum des Kredits (TT/MM/JJJJ)</t>
  </si>
  <si>
    <t>Fecha de vencimeinto del Préstamo (dd/mm/aaaa)</t>
  </si>
  <si>
    <t>in Excel serial numbers, e.g use 39448 for the 1. Jan 2008.</t>
  </si>
  <si>
    <t>Bitte Excel "Seriennummern" benutzen, z.B. 39448 fuer den ersten Januar 2008.</t>
  </si>
  <si>
    <t>Por favor, usen sistema de fechas 1900. Por ejemplo, el 5 de julio de 1998 tiene el numbero de serie 35981.</t>
  </si>
  <si>
    <t>Loan Origination Date (dd/mm/yyyy)</t>
  </si>
  <si>
    <t>Datum der KreditgeWährung (TT/MM/JJJJ)</t>
  </si>
  <si>
    <t>Fecha de concesión del Préstamo (dd/mm/aaaa)</t>
  </si>
  <si>
    <t>WHOLE-LTV</t>
  </si>
  <si>
    <t>GESAMT-Beleihungsquote</t>
  </si>
  <si>
    <t>LTV Total (%)</t>
  </si>
  <si>
    <t>See definition page for WHOLE-LTV. E.g. 0.98 or 98%</t>
  </si>
  <si>
    <t>Vgl. WHOLE-LTV. Z.B. 0.98 oder 98%</t>
  </si>
  <si>
    <t>Ver definición de LTV Total. Por ejemplo, 0.98 o 98%</t>
  </si>
  <si>
    <t>Prior Ranks secured by property/properties</t>
  </si>
  <si>
    <t xml:space="preserve">VORRANGIGE VERBINDLICHKEITEN </t>
  </si>
  <si>
    <t>PRIMEROS RANGOS garantizados por propiedades</t>
  </si>
  <si>
    <t>Equal/pari passu ranking loans should be reported in column CA</t>
  </si>
  <si>
    <t>Bitte berichten Sie gleich bzw. pari passu rangige Kredit in Spalte CA.</t>
  </si>
  <si>
    <t>Saldo de préstamos con mismo rango de pago (pari passu) ha de ser reportado en la columna CA</t>
  </si>
  <si>
    <t>Junior Ranks (incl. 3rd parties)</t>
  </si>
  <si>
    <t xml:space="preserve">Nachrangige Verbindlichkeiten </t>
  </si>
  <si>
    <t>Rangos subordinados.</t>
  </si>
  <si>
    <t>(incl. 3rd parties junior ranks). In DEFAULT CURRENCY</t>
  </si>
  <si>
    <t>(eigene &amp; fremde). In STANDARDWÄHRUNG.</t>
  </si>
  <si>
    <t>en la DIVISA ESTÁNDAR</t>
  </si>
  <si>
    <t>Interest rate type after taking account of any applicable hedges</t>
  </si>
  <si>
    <t>Zinsart nach Berücksichtigung allfälliger Sicherungsgeschäfte.</t>
  </si>
  <si>
    <t>Tipo de interes luego de aplicar cualquier derivado.</t>
  </si>
  <si>
    <t>If interest on loan is fixed, fixed interest rate (in %)</t>
  </si>
  <si>
    <t>Si es a tipo fijo, tipo de interés fijo en %</t>
  </si>
  <si>
    <t>Después de derivados si es aplicable. Sólo enc aso de tipo fijo-</t>
  </si>
  <si>
    <t>MARGIN ON FIXED RATE LOANS (in bps)</t>
  </si>
  <si>
    <t>DURCHSCHNITTLICHE MARGE FÜR FESTVERZINSLICHE KREDITE (in bps):</t>
  </si>
  <si>
    <t>MARGEN MEDIO Préstamos Tipo Fijo(en bps)</t>
  </si>
  <si>
    <t>Ver definiciones.</t>
  </si>
  <si>
    <t>Interest margin, if borrower pays floating rate (in %)</t>
  </si>
  <si>
    <t>Zinsmarge, wenn der Kreditnehmer variabel verzinst (in %)</t>
  </si>
  <si>
    <t>Margen (si el deudor paga tipo flotante) (en %)</t>
  </si>
  <si>
    <t>Margin over BASIS. Only applicable if borrower pays a floating rate (after taking account of applicable hedges).</t>
  </si>
  <si>
    <t>En caso de tipo variable</t>
  </si>
  <si>
    <t>BASIS or reference rate (if borrower pays floating rate)</t>
  </si>
  <si>
    <t>BASIS oder Referenzzinssatz (wenn der Kreditnehmer variabel verzinst)</t>
  </si>
  <si>
    <t>En caso de tipo variable, la base o índice de referencia</t>
  </si>
  <si>
    <t>Only applicable if borrower pays a floating rate (after taking account of applicable hedges).</t>
  </si>
  <si>
    <t>Nur anwendbar, wenn der Kreditnehmer einen variablen Zinssatz zahlt (unter Berücksichtigung der geltenden Absicherungsgeschäfte)</t>
  </si>
  <si>
    <t>Is interest on loan capped until maturity? And what level? (%)</t>
  </si>
  <si>
    <t xml:space="preserve">Zinsdeckelung (Cap), die bis zur Fälligkeit des Kredits gilt (falls bestehend, in [%])? </t>
  </si>
  <si>
    <t>¿Tiene un techo el préstamo hasta su vencimiento? ¿A qué nivel ? (%)</t>
  </si>
  <si>
    <t>Only include caps below if this remains in place until the maturity of the loan.If not, enter "not capped". If capped until maturity enter cap level below.</t>
  </si>
  <si>
    <t>Bitte Zinsobergrenze angeben (nur wenn nur Zinsdeckelung (Cap) bis zur Fälligkeit des Kredits gilt, andernfalls bitte "not capped" eingeben).</t>
  </si>
  <si>
    <t>Sólo incluir caps si se mantienen hasta el vencimiento del Préstamo. Si no, poner "no capped". Enc asod e que exista techo incluir el nivel del mismo.</t>
  </si>
  <si>
    <t>NET CASH - to be received over next year -</t>
  </si>
  <si>
    <t>LAUFENDE EINNAHMEN (NETTO) - kommende 12 Monate</t>
  </si>
  <si>
    <t>CASH NETO -a recibir en el próximo año-</t>
  </si>
  <si>
    <t>Net amount receivable by the Borrower from tenants over the next year (after deduction of all property-related payments for which the Borrower is obliged). See NET CASH</t>
  </si>
  <si>
    <t>Nettobetrag der Zahlungen des Mieters an den Kreditnehmer (abzueglich aller mit der Immobilie verbundenen Zahlungen, zu denen der Kreditnehmer verpfllichtet ist). Vgl. LAUFENDE EINNAHMEN (NETTO).</t>
  </si>
  <si>
    <t>Cantidad neta a recibir de los arrendatarios en el próximo año (tras deducir costes relacionados con al propiedad). Ver CASH NETO.</t>
  </si>
  <si>
    <t>NET CASH  - received over last year -</t>
  </si>
  <si>
    <t>LAUFENDE EINNAHMEN (NETTO) - letzte 12 Monate</t>
  </si>
  <si>
    <t>CASH NETO -recibido en el último año-</t>
  </si>
  <si>
    <t>Net amount received by the Borrower from tenants over previous year (after deduction of all property-related payments for which the Borrower is obliged). See NET CASH</t>
  </si>
  <si>
    <t>Cantidad neta recibida de los arrendatarios en el último año (tras deducir costes relacionados con al propiedad). Ver CASH NETO.</t>
  </si>
  <si>
    <t>DSCR</t>
  </si>
  <si>
    <t>SCHULDENDIENST-DECKUNGSQUOTE</t>
  </si>
  <si>
    <t>See definition page for DSCR</t>
  </si>
  <si>
    <t>Vgl. Tabellenblatt 'Definitions' für SCHULDENDIENSTDECKUNGSQUOTE.</t>
  </si>
  <si>
    <t>Ver Definición de DSCR</t>
  </si>
  <si>
    <t>Timeframe used for calculating the NET CASH and debt service payment in DSCR</t>
  </si>
  <si>
    <t>Betrachteter Zeitraum zur Berechnung der LAUFENDEN EINNAHMEN</t>
  </si>
  <si>
    <t>Perído de cálculo del CASH NETO y Deuda a la hora de calcular DSCR</t>
  </si>
  <si>
    <t>Select from options</t>
  </si>
  <si>
    <t>Seleccionar entre opciones disponibles</t>
  </si>
  <si>
    <t>Principal Payment Frequency</t>
  </si>
  <si>
    <t>Frecuqncia de pago de principal</t>
  </si>
  <si>
    <t>Método de amortización</t>
  </si>
  <si>
    <t>Provisioned Amount (%)</t>
  </si>
  <si>
    <t>Rückstellung in %</t>
  </si>
  <si>
    <t>Cantidad provisionada (%)</t>
  </si>
  <si>
    <t>This should be a current provision and be as a % of the LOAN BALANCE</t>
  </si>
  <si>
    <t>(aktuelle Rückstellung in % des KREDITSALDOS)</t>
  </si>
  <si>
    <t>Provisiones actuales como % sobre el SALDO VIVO</t>
  </si>
  <si>
    <t>Loan performing</t>
  </si>
  <si>
    <t>RÜCKSTÄNDIGE KREDITE</t>
  </si>
  <si>
    <t>Préstamo al corriente</t>
  </si>
  <si>
    <t>DEBTOR ID</t>
  </si>
  <si>
    <t>SCHULDNER ID</t>
  </si>
  <si>
    <t>Número de Identificación del DEUDOR</t>
  </si>
  <si>
    <t>numeric identifier</t>
  </si>
  <si>
    <t>bitte numberisch, keine Buchstaben verwenden.</t>
  </si>
  <si>
    <t>DEUDOR ID</t>
  </si>
  <si>
    <t>DEBTOR name</t>
  </si>
  <si>
    <t>Nombre del deudor</t>
  </si>
  <si>
    <t>Nombre del deudor hipotecario si está disponible</t>
  </si>
  <si>
    <t>DEBTOR type</t>
  </si>
  <si>
    <t>Art des SCHULDNERS</t>
  </si>
  <si>
    <t>Tipo de DEUDOR</t>
  </si>
  <si>
    <t>Recourse to BORROWER</t>
  </si>
  <si>
    <t>Rückgriff auf KREDITNEHMER</t>
  </si>
  <si>
    <t>Recurso al DEUDOR</t>
  </si>
  <si>
    <t xml:space="preserve">Is there any recourse to the assets of the borrower (except property)? Y/N </t>
  </si>
  <si>
    <t>Rückgriff auf Vermögenswerte des KREDITNEHMERS (außer Immobilie)? J/N</t>
  </si>
  <si>
    <t>¿Existe recurso a otros activos del Deudor que no sea la propiedad? Y/N</t>
  </si>
  <si>
    <t>Moody's DEBTOR or Sponsor Rating</t>
  </si>
  <si>
    <t>SCHULDNER oder Sponsor: Moody's Rating</t>
  </si>
  <si>
    <t>Rating de Moody's del Deudor/Sponsor</t>
  </si>
  <si>
    <t>A sponsor rating would be used where a LOAN is to a special purpose vehicle ("SPV") but the SPV is wholly owned/guaranteed by a rated entity. The long term senior unsecured rating should be used</t>
  </si>
  <si>
    <t>Wenn der Kredit an ein SPV gewährt wird und durch eine dritte Partei (Sponsor) garantiert ist, wird das Sponsor-Rating (Long Term Senior Unsecured) herangezogen.</t>
  </si>
  <si>
    <t>El rating del sponsor se utilii el Deudor es un SPV y éste está partciipado totalmente o granatizado por un entidad calificada. Se debe utilizar la calificación no subordinada a largo plazo.</t>
  </si>
  <si>
    <t>S&amp;P DEBTOR or Sponsor Rating</t>
  </si>
  <si>
    <t>SCHULDNER oder Sponsor: S&amp;P Rating</t>
  </si>
  <si>
    <t>Rating de S&amp;P del Deudor/Sponsor</t>
  </si>
  <si>
    <t>A sponsor rating would be used where a LOAN is to a special purpose vehicle but the SPV is wholly owned by a rated entity.</t>
  </si>
  <si>
    <t>Fitch DEBTOR or Sponsor Rating</t>
  </si>
  <si>
    <t>SCHULDNER oder Sponsor: Fitch Rating</t>
  </si>
  <si>
    <t>Rating de Fitch del Deudor/Sponsor</t>
  </si>
  <si>
    <t>A sponsor rating would be used where a LOAN is to a special purpose vehicle but the spv is wholly owned by a rated entity.</t>
  </si>
  <si>
    <t>Property ID</t>
  </si>
  <si>
    <t>Identifikationsnummer Immobilie</t>
  </si>
  <si>
    <t>Número de identificación - propiedad</t>
  </si>
  <si>
    <t>If loan refers to multiple properties, please refer to main property. Numeric.</t>
  </si>
  <si>
    <t>Falls Kredit durch mehrere Immobilien besichert ist, bitte auf Hauptimmobilie abstellen. Bitte numerisch.</t>
  </si>
  <si>
    <t>de la propiedad principal</t>
  </si>
  <si>
    <t>Postal Code</t>
  </si>
  <si>
    <t>PLZ</t>
  </si>
  <si>
    <t>Código Postal</t>
  </si>
  <si>
    <t>Postleitzahl, Zip-Code o.ä.</t>
  </si>
  <si>
    <t>Eligible? (Y/N)</t>
  </si>
  <si>
    <t>Spalte bitte ignorieren</t>
  </si>
  <si>
    <t>Elegible?</t>
  </si>
  <si>
    <t>Applicable only for Spanish Cédulas.</t>
  </si>
  <si>
    <t>Nicht relevant fuer deutsche Emittenten</t>
  </si>
  <si>
    <t>If in construction, please specify construction stage</t>
  </si>
  <si>
    <t>Falls im Bau, Baufortschritt in %</t>
  </si>
  <si>
    <t>Si el prestamo es para Promotor, indique la etapa de construccion</t>
  </si>
  <si>
    <t xml:space="preserve">If in construction, please specify percentage of properties sold. </t>
  </si>
  <si>
    <t xml:space="preserve">Si el prestamo es para Promotor, indique el porecentage de ventas realizadas. </t>
  </si>
  <si>
    <t>Valuation of property/properties - 1 (in DEFAULT CURRENCY)</t>
  </si>
  <si>
    <t>Bewertung der Immobilie(n) - 1 (in STANDARDWÄHRUNG)</t>
  </si>
  <si>
    <t>Tasación de la propiedad -1</t>
  </si>
  <si>
    <t>In DEFAULT CURRENCY</t>
  </si>
  <si>
    <t>in STANDARDWÄHRUNG</t>
  </si>
  <si>
    <t>En la DIVISA ESTÁNDAR</t>
  </si>
  <si>
    <t>Valuation of property/properties - 2 (in currency of the loan)</t>
  </si>
  <si>
    <t>Bewertung der Immobilie(n) - 2 (in der Währung des Kredits)</t>
  </si>
  <si>
    <t>In currency of loan</t>
  </si>
  <si>
    <t>In Währung des Kredits</t>
  </si>
  <si>
    <t>En la DIVISA del Préstamo</t>
  </si>
  <si>
    <t>Date of valuation used for LTV (dd/mm/yyyy)</t>
  </si>
  <si>
    <t>Datum der Bewertung (TT/MM/JJJJ)</t>
  </si>
  <si>
    <t>Fecha de tasación usada en LTV (dd/mm/aaaa)</t>
  </si>
  <si>
    <t>If there are multiple properties use the valuation date of the largest property.</t>
  </si>
  <si>
    <t>Bei mehreren Immobilien Datum der Bewertung der größten Immobilie.</t>
  </si>
  <si>
    <t>En caso de varias propiedads, fecha de la mayor propiedad</t>
  </si>
  <si>
    <t>Valuation Type</t>
  </si>
  <si>
    <t xml:space="preserve">Bewertung </t>
  </si>
  <si>
    <t>Tipo de Valuacion</t>
  </si>
  <si>
    <t>Specify valuation type used in LTV calculation</t>
  </si>
  <si>
    <t>Bitte bestaetigen die in der LTV-Berechnung verwendete Bewertungsart</t>
  </si>
  <si>
    <t>Especificar el tipo de valuación utilizado en el calculo del LTV</t>
  </si>
  <si>
    <t>Vacant Possession Value</t>
  </si>
  <si>
    <t>"Vacant Possession Value"</t>
  </si>
  <si>
    <t>Valor de la Propiedad sin ocupación</t>
  </si>
  <si>
    <t>Date of valuation for Vacant Possession Value (dd/mm/yyyy)</t>
  </si>
  <si>
    <t>Zeitpunkt der Bewertung des "Vacant Possession Value" (TT/MM/JJJJ)</t>
  </si>
  <si>
    <t>Fecha de la Valoración sin ocupación (dd/mm/aaaa)</t>
  </si>
  <si>
    <t>If there are multiple properties use the valuation date of the largest property</t>
  </si>
  <si>
    <t>Country property / properties based in</t>
  </si>
  <si>
    <t>Land, in dem sich die Immobilie(n) befindet/n</t>
  </si>
  <si>
    <t>País donde se ubica la propiedad</t>
  </si>
  <si>
    <t>There should never be more than one country per "loan" - see MULTI-COUNTRY ASSET</t>
  </si>
  <si>
    <t>Nie 2 Länder pro Kredit verwenden - Vgl. VERMÖGENSWERT IN MEHEREN LÄNDERN</t>
  </si>
  <si>
    <t>en caso de más de un país  por préstamo -ver ACTIVOS MULTIJURISDICCIONALES</t>
  </si>
  <si>
    <t>Region in which property / properties based</t>
  </si>
  <si>
    <t>Region in dem sich die Immobilie(n) befindet/n</t>
  </si>
  <si>
    <t>Región en la que se ubica la propiedad</t>
  </si>
  <si>
    <t>If there are multiple properties, use the region of the largest property.</t>
  </si>
  <si>
    <t>En caso de varias propiedades, usar la de la mayor propiedad</t>
  </si>
  <si>
    <t xml:space="preserve">If there are multiple properties, use the region of the largest property. </t>
  </si>
  <si>
    <t xml:space="preserve">Bei mehreren Immobilien Belegenheit der größten Immobilie. </t>
  </si>
  <si>
    <t>Property type</t>
  </si>
  <si>
    <t>Immobilientyp</t>
  </si>
  <si>
    <t>Tipo de Propiedad</t>
  </si>
  <si>
    <t xml:space="preserve">If 50% of the value of properties backing a "loan" relate to a property type, use that property type. Otherwise use mixed use (see also MULTI-COUNTRY ASSET) </t>
  </si>
  <si>
    <t>Wenn ein Immobilientyp ueberwiegt. Sonst GEMISCHTE NUTZUNG VERWENDEN. Vgl. auch VERMÖGENSWERT IN MEHEREN LÄNDERN.</t>
  </si>
  <si>
    <t>En caso de que el 50% de la propiedad se relacione con un tipo de uso de propiedad, usar dicho tipo. En caso contrario usar USO MIXTO</t>
  </si>
  <si>
    <t>How many properties backing loan?</t>
  </si>
  <si>
    <t>Durch wieviele Immobilien ist Kredit besichert?</t>
  </si>
  <si>
    <t>¿Cuántas propiedades garantizan el Préstamo?</t>
  </si>
  <si>
    <t>Number of tenants</t>
  </si>
  <si>
    <t>Anzahl der Mieter</t>
  </si>
  <si>
    <t>Número de arrendatarios</t>
  </si>
  <si>
    <t>Largest tenant by name</t>
  </si>
  <si>
    <t>Name des größten Mieters</t>
  </si>
  <si>
    <t>Nombre del mayor arrendatario si es posible</t>
  </si>
  <si>
    <t>Moody's Rating of Largest Tenant</t>
  </si>
  <si>
    <t>Größter Mieter - Moody's Rating</t>
  </si>
  <si>
    <t>Rating de Moody's del mayor arrendatario</t>
  </si>
  <si>
    <t>Long Term Unsecured Rating verwenden.</t>
  </si>
  <si>
    <t>Usar calificación para la deuda no subordinada a largo plazo</t>
  </si>
  <si>
    <t>S&amp;P Rating of Largest Tenant</t>
  </si>
  <si>
    <t>Größter Mieter - S&amp;P Rating</t>
  </si>
  <si>
    <t>Rating de S&amp;P del mayor arrendatario</t>
  </si>
  <si>
    <t>Fitch Rating of Largest Tenant</t>
  </si>
  <si>
    <t>Größter Mieter - Fitch Rating</t>
  </si>
  <si>
    <t>Rating de Fitch del mayor arrendatario</t>
  </si>
  <si>
    <t>Remaining length of tenancy of largest tenant (in months)</t>
  </si>
  <si>
    <t>Verbleibende Mietzeit des größten Mieters (in Monaten)</t>
  </si>
  <si>
    <t>Vida del contrato de arrendamiento del mayor arrendatario (en meses)</t>
  </si>
  <si>
    <t>This should be to the period from the REPORT DATE up to the earlier of lease maturity or date of first break option under lease.</t>
  </si>
  <si>
    <t xml:space="preserve">Unkündbare verbleibende Mietzeit ab BERICHTSDATUM </t>
  </si>
  <si>
    <t>Desde la FECHA DE INFORME hasta la vida del contrato u opción de salida si es anterior</t>
  </si>
  <si>
    <t>Largest tenant as % of all tenants</t>
  </si>
  <si>
    <t>Größter Mieter in % aller Mieter</t>
  </si>
  <si>
    <t>% del mayor Arrendatario sobre el total</t>
  </si>
  <si>
    <t>Different measures may be used. Please specify measure in next column</t>
  </si>
  <si>
    <t>Verschiedene Methoden zur Messung können angewandt werden. Bitte in naechster Spalte spezifizieren.</t>
  </si>
  <si>
    <t xml:space="preserve">Distintas métodos de medición son posibles. </t>
  </si>
  <si>
    <t>Method largest tenant measured</t>
  </si>
  <si>
    <t>Methode zur Messung des größten Mieters.</t>
  </si>
  <si>
    <t>Método utilizado para valorar mayor arrendatario</t>
  </si>
  <si>
    <t>Type of lease agreed with largest tenant</t>
  </si>
  <si>
    <t>Miettyp mit größtem Mieter</t>
  </si>
  <si>
    <t>Tipo de contrato con el mayor arrendatario</t>
  </si>
  <si>
    <t>Is lease fully repairing and insuring? A fully repairing and insuring lease would mean the largest tenant bears all responsibility for repairs (excluding structural) and all service charges.</t>
  </si>
  <si>
    <t>Werden Reparatur- und Versicherungskosten auf Mieter überwaelzt?</t>
  </si>
  <si>
    <t>El arrendatario asume todos los costes de reparación (excluida reparaciones estructurales) y todos los servicios adjuntos</t>
  </si>
  <si>
    <t>For all tenants: Type of lease agreed with tenants</t>
  </si>
  <si>
    <t>Miettyp für alle Mieter</t>
  </si>
  <si>
    <t>Tipo de contrato con todos los arrendatarios</t>
  </si>
  <si>
    <t>Are all tenant leases fully repairing and insuring? A fully repairing and insuring lease would mean all tenants bear all responsibility for repairs (excluding structural) and all service charges.</t>
  </si>
  <si>
    <t>Los arrendatarios asumen todos los costes de reparación (excluida reparaciones estructurales) y todos los servicios adjuntos</t>
  </si>
  <si>
    <t>For all tenants: Weighted average remaining tenancy term (in months)</t>
  </si>
  <si>
    <t>Für Alle Mieter: Gewichtete durchschnittliche verbleibende Mietzeit (in Monaten)</t>
  </si>
  <si>
    <t>Vida media pondera restante del contrato de arrendamiento de todos los arrendatarios (en meses)</t>
  </si>
  <si>
    <t>Tenancy length should be to the earlier of lease maturity or date of first break option under lease. Different measures may be used. Please specify measure in next column.</t>
  </si>
  <si>
    <t>For all tenants: Method used to weight tenancy length</t>
  </si>
  <si>
    <t>Methode zur Gewichtung der Mietdauer (für alle Mieter)</t>
  </si>
  <si>
    <t>Método utilizado en la ponderación</t>
  </si>
  <si>
    <t>Overall Loan Score</t>
  </si>
  <si>
    <t>INTERNES RATING - Kredit gesamt</t>
  </si>
  <si>
    <t>Score total del Préstamo</t>
  </si>
  <si>
    <t>Property Location Score</t>
  </si>
  <si>
    <t>INTERNES RATING - Lage der Immobilie</t>
  </si>
  <si>
    <t>Score sobre localización de la propiedad</t>
  </si>
  <si>
    <t>Property Quality Score</t>
  </si>
  <si>
    <t>INTERNES RATING - Qualität der Immobilie</t>
  </si>
  <si>
    <t>Score sobre la calidad de la Propiedad</t>
  </si>
  <si>
    <t xml:space="preserve"> Property Quality AND Property Location Score</t>
  </si>
  <si>
    <t>INTERNES RATING - Qualität UND Lage der Immobilie</t>
  </si>
  <si>
    <t>Score sobre la Localización y calidad de la Propiedad</t>
  </si>
  <si>
    <t>DEBTOR Rating Score</t>
  </si>
  <si>
    <t>INTERNES RATING - Schuldner</t>
  </si>
  <si>
    <t>Rating score del DEUDOR</t>
  </si>
  <si>
    <t>Tenant Rating Score (WA of all tenants)</t>
  </si>
  <si>
    <t>INTERNES RATING - Mieter (Gewichteter Durchschnitt aller Mieter)</t>
  </si>
  <si>
    <t>Score de los Arrendatarios (Medio Ponderado)</t>
  </si>
  <si>
    <t>DEBTOR AND Tenant Rating Score</t>
  </si>
  <si>
    <t>INTERNES RATING - Schuldner UND Mieter</t>
  </si>
  <si>
    <t>Rating Score del DEUDOR y Arrendatarios</t>
  </si>
  <si>
    <t>Tenant Rating Score for Largest tenant</t>
  </si>
  <si>
    <t>INTERNES RATING - Größter Mieter</t>
  </si>
  <si>
    <t>Rating score del mayor Arrendatario</t>
  </si>
  <si>
    <t>Rating Score del mayor Arrendatario</t>
  </si>
  <si>
    <t>Gewichtetes Durchschnitt-Rating aller Mieter</t>
  </si>
  <si>
    <t>Rating medio ponderado de todos los arrendatarios</t>
  </si>
  <si>
    <t>Value at loan origination. In DEFAULT CURRENCY (=functional currency, e.g. for Austrian issuers: EUR), same currency as in column "Loan Balance - 1". See also LTV definition.</t>
  </si>
  <si>
    <t>Bewertung zum Zeitpunkt der Kreditgewährung. In STANDARDWÄHRUNG (=funktionale Währung, für deutsche Emittenten i.d.R. EUR). Gleiche Waehrung wie in Spalte "Kreditsaldo - 1".</t>
  </si>
  <si>
    <t>Valoración a fecha de originación. Ver definición de LTV.</t>
  </si>
  <si>
    <t>Value at loan origination. In currency of the loan.</t>
  </si>
  <si>
    <t>Bewertung zum Zeitpunkt der Kreditgewährung. In Währung des Kredits.</t>
  </si>
  <si>
    <t>Valoración a fecha de originación. En la divisa del Préstamo.</t>
  </si>
  <si>
    <t>Updated Valuation of property / properties</t>
  </si>
  <si>
    <t>Aktuelle Bewertung der Immobilie(n)</t>
  </si>
  <si>
    <t>Valoración actualizada de la propiedad</t>
  </si>
  <si>
    <t xml:space="preserve">This should be latest valuation where such has been carried out after the original valuation at time of loan origination. In DEFAULT CURRENCY. </t>
  </si>
  <si>
    <t>In STANDARDWÄHRUNG.</t>
  </si>
  <si>
    <t>Última valoración realizada tras la tasación inicial. En la DIVISA ESTÁNDAR</t>
  </si>
  <si>
    <t>Internal Ratings*</t>
  </si>
  <si>
    <t>Interne Ratings*</t>
  </si>
  <si>
    <t>Rating Interno*</t>
  </si>
  <si>
    <t>Category</t>
  </si>
  <si>
    <t>Kategorie</t>
  </si>
  <si>
    <t>Categorías</t>
  </si>
  <si>
    <t>Target DP (mean)</t>
  </si>
  <si>
    <t>Ziel-Ausfallwk (Ø)</t>
  </si>
  <si>
    <t>Target DP (min)</t>
  </si>
  <si>
    <t>Ziel-Ausfallwk (min)</t>
  </si>
  <si>
    <t>Target DP (max)</t>
  </si>
  <si>
    <t>Ziel-Ausfallwk (max)</t>
  </si>
  <si>
    <t>*please provide separately comprehensive migration matrices.</t>
  </si>
  <si>
    <t>*bitte Ratingmigrations-Matrizen separat bereitstellen.</t>
  </si>
  <si>
    <t>*por favor, otorgen matrices de transición</t>
  </si>
  <si>
    <t>The time from the REPORT DATE to the maturity date, which should be gauged as the longest possible remaining time before the Borrower is scheduled to repay the Loan, taking into account any applicable grace period, ignoring any option rights and reset dates. REMAINING TERM should be measured in months (unless otherwise specified), rounded down to nearest whole month.</t>
  </si>
  <si>
    <t>Zeit zwischen dem BERICHTSDATUM und der Fälligkeit des Kredits. D.h., der Zeitraum nach dem der Kreditnehmer spätestens den Kredit zurückzahlen muss, unter Berücksichtigung jeglicher Nachfristen und ohne Berücksichtigung von Optionsrechten und Zinsneufestlegungsterminen.VERBLEIBENDE LAUFZEIT sollte in Monaten gemessen werden (wenn nicht anders angegeben), abgerundet zum nächsten vollen Monat.</t>
  </si>
  <si>
    <t xml:space="preserve">This worksheet does not need to be completed for transactions where the issuer is rated A2 or above and the level of commercial loans is not particularly high (to be discussed with Moody's on a case by case basis) </t>
  </si>
  <si>
    <t>Emittenten mit A2 Rating oder besser müssen dieses Tabellenblatt nicht ausfüllen wenn der Anteil gewerblicher Kredite nicht besonders hoch ist (bitte im Einzelfall mit Moody's klären)</t>
  </si>
  <si>
    <t xml:space="preserve">No aplicable para emisores con un rating de al menos A2 si el porcentage de PRÉSTAMOS COMERCIAL no es particularmente alto. </t>
  </si>
  <si>
    <t>Commercial Property-by-Property data</t>
  </si>
  <si>
    <t>Gewerbliche Immobilienkredite - Property-by-Property</t>
  </si>
  <si>
    <t>Información CARTERA COMERCIAL - Propiedad a Propiedad</t>
  </si>
  <si>
    <t>If borrowers are related</t>
  </si>
  <si>
    <t>If borrowers are related, i.e. via "Kreditnehmereinheiten"</t>
  </si>
  <si>
    <t>Equal/pari passu ranking loans secured by the property/properties</t>
  </si>
  <si>
    <t>Gleich bzw. pari passu rangige Krdite</t>
  </si>
  <si>
    <t>Saldo de préstamos con mismo rango de pago (pari passu) garantizado por la/s propiedad/es</t>
  </si>
  <si>
    <t>Amount of prior ranking loans in DEFAULT CURRENCY</t>
  </si>
  <si>
    <t>Betrag vorrangiger Kredite in Standardwährung</t>
  </si>
  <si>
    <t>Saldo de préstamos con rango de pago preferente en la divisa estándar</t>
  </si>
  <si>
    <t>Amount of equal ranking loans in DEFAULT CURRENCY</t>
  </si>
  <si>
    <t>Betrag gleichrangiger Kredite in Standardwährung</t>
  </si>
  <si>
    <t>Saldo de préstamos con mismo rango de pago (pari passu) en la divisa estándar</t>
  </si>
  <si>
    <t>ESG Bond</t>
  </si>
  <si>
    <t>ESG Anleihe</t>
  </si>
  <si>
    <t>Bono ESG</t>
  </si>
  <si>
    <t>if applicable, please select the type of ESG bond</t>
  </si>
  <si>
    <t>falls zutrifft, wählen Sie bitte die Art der ESG Anleihe</t>
  </si>
  <si>
    <t>si procede, seleccione el tipo de bono ESG</t>
  </si>
  <si>
    <t>Other features</t>
  </si>
  <si>
    <t>Weitere Merkmale</t>
  </si>
  <si>
    <t>Otras características</t>
  </si>
  <si>
    <t>Optional field to record additional information, e.g., bonds retained for central bank repo or other repo (including 'temporary' tap issuance for short-term repo)</t>
  </si>
  <si>
    <t>Fakultatives Feld für die Festhaltung zusätzlicher Informationen wie z.B. Anleihen, die für Repogeschäfte mit der Zentralbank oder für andere Repos gehalten werden (inklusive "vorübergehende" Daueremissionen für kurzfristige Repogeschäfte)</t>
  </si>
  <si>
    <t>Campo opcional para registrar información adicional, por ejemplo: bonos retenidos para operaciones de repo con el banco central u otra operaciones de repo (incluida la emisión 'temporal' de bonos para repo a corto plazo)</t>
  </si>
  <si>
    <t>Restructured or modified for credit reasons (and not in arrears)</t>
  </si>
  <si>
    <t>11. LOANS IN ARREARS (added 12/03/2018 with v5)</t>
  </si>
  <si>
    <t>Loans that are not in arrears (i.e. performing Loans)</t>
  </si>
  <si>
    <t>Nicht rückständige Kredite</t>
  </si>
  <si>
    <t>Préstamos que no se encuentren en mora (es decir, préstamos a corriente de pago)</t>
  </si>
  <si>
    <t>Performing loans that were restructured or modified for credit reasons (and are not in arrears)</t>
  </si>
  <si>
    <t>Nicht rückständige Kredite, die aus Kreditgründen restrukturiert oder modifiziert wurden.</t>
  </si>
  <si>
    <t>Préstamos a corriente de pago que hayan sido reestructurados o modificados por razones crediticias (y que no es encuentren en mora)</t>
  </si>
  <si>
    <t>15. If applicable - NHG-guaranteed loans</t>
  </si>
  <si>
    <t>Interest-only (bullet) loans, loan origination dates before Jan 2014</t>
  </si>
  <si>
    <t>Interest-only (bullet) loans, loan origination dates on or after Jan 2014</t>
  </si>
  <si>
    <t>Amortising loans, loan origination dates before Jan 2014</t>
  </si>
  <si>
    <t>Amortising loans, loan origination dates on or after Jan 2014</t>
  </si>
  <si>
    <t>Moody's Programme Number:</t>
  </si>
  <si>
    <t>Moody's Programmnummer</t>
  </si>
  <si>
    <t>Número de Programa</t>
  </si>
  <si>
    <t>Legal Framework (Country)</t>
  </si>
  <si>
    <t>Rechtlicher Rahmen (Land)</t>
  </si>
  <si>
    <t>Marco Legal (País)</t>
  </si>
  <si>
    <t>Counterparty Type</t>
  </si>
  <si>
    <t>Art der Gegenpartei</t>
  </si>
  <si>
    <t>Tipo de Contrapartida</t>
  </si>
  <si>
    <t>Sponsor (if applicable)</t>
  </si>
  <si>
    <t>Sponsor (falls zutreffend)</t>
  </si>
  <si>
    <t>Sponsor (si aplica)</t>
  </si>
  <si>
    <t>Servicer (if not group entity)</t>
  </si>
  <si>
    <t>Servicer (falls nicht Konzernunternehmen)</t>
  </si>
  <si>
    <t>Administrador (si es externo a la entidad)</t>
  </si>
  <si>
    <t>Back-up Servicer</t>
  </si>
  <si>
    <t xml:space="preserve">Backup-Servicer </t>
  </si>
  <si>
    <t>Administrador sustituto</t>
  </si>
  <si>
    <t>Back-up Servicer Facilitator</t>
  </si>
  <si>
    <t>Backup-Servicer Vermittler</t>
  </si>
  <si>
    <t>Facilitador administrador sustituto</t>
  </si>
  <si>
    <t>Cash Manager (if not group entity)</t>
  </si>
  <si>
    <t>Cash Manager (falls nicht Konzernunternehmen)</t>
  </si>
  <si>
    <t>Gestor de Liquidez (si es externo a la entidad)</t>
  </si>
  <si>
    <t>Back-up Cash Manager</t>
  </si>
  <si>
    <t>Backup Cash Manager</t>
  </si>
  <si>
    <t>Gestor de Liquidez sustituto</t>
  </si>
  <si>
    <t>Cuenta Bancaria</t>
  </si>
  <si>
    <t>Standby Account Bank</t>
  </si>
  <si>
    <t>Cuenta Bancaria sustituto</t>
  </si>
  <si>
    <t>Account Bank Guarantor</t>
  </si>
  <si>
    <t>Account Bank Garant</t>
  </si>
  <si>
    <t>Garante de la Cuenta Bancaria</t>
  </si>
  <si>
    <t>Maturity Type</t>
  </si>
  <si>
    <t>Fälligkeitsart</t>
  </si>
  <si>
    <t>Tipo de Vencimiento</t>
  </si>
  <si>
    <t>Transaction Counterparty</t>
  </si>
  <si>
    <t>Transaktion Gegenpartei</t>
  </si>
  <si>
    <t>Contrapartida del Programa</t>
  </si>
  <si>
    <t>Hard bullet</t>
  </si>
  <si>
    <t>Soft bullet</t>
  </si>
  <si>
    <t>Soft Bullet</t>
  </si>
  <si>
    <t>Pass Through</t>
  </si>
  <si>
    <t>Mixed</t>
  </si>
  <si>
    <t>Gemischt</t>
  </si>
  <si>
    <t>Mixto</t>
  </si>
  <si>
    <t>Singapur</t>
  </si>
  <si>
    <t>Slowakei</t>
  </si>
  <si>
    <t>Eslovaquia</t>
  </si>
  <si>
    <t>Südkorea</t>
  </si>
  <si>
    <t>Corea del Sur</t>
  </si>
  <si>
    <t>Neuseeland</t>
  </si>
  <si>
    <t>Nueva Zelanda</t>
  </si>
  <si>
    <t>Nicht rückständige Kredite (d.h. performing loans)</t>
  </si>
  <si>
    <t>Zypern</t>
  </si>
  <si>
    <t>Chipre</t>
  </si>
  <si>
    <t>Luxemburg</t>
  </si>
  <si>
    <t>Luxemburgo</t>
  </si>
  <si>
    <t>Rumänien</t>
  </si>
  <si>
    <t>Rumanía</t>
  </si>
  <si>
    <t>Russland</t>
  </si>
  <si>
    <t>Rusia</t>
  </si>
  <si>
    <t>Supranational</t>
  </si>
  <si>
    <t>Überstaatlich</t>
  </si>
  <si>
    <t>Supranacional</t>
  </si>
  <si>
    <t>Türkei</t>
  </si>
  <si>
    <t>Turquía</t>
  </si>
  <si>
    <t>Estland</t>
  </si>
  <si>
    <t>Lettland</t>
  </si>
  <si>
    <t>Letonia</t>
  </si>
  <si>
    <t>Litauen</t>
  </si>
  <si>
    <t>Lituania</t>
  </si>
  <si>
    <t>Bulgarien</t>
  </si>
  <si>
    <t>Kroatien</t>
  </si>
  <si>
    <t>Croacia</t>
  </si>
  <si>
    <t>Slowenien</t>
  </si>
  <si>
    <t>Eslovenia</t>
  </si>
  <si>
    <t>China</t>
  </si>
  <si>
    <t>India</t>
  </si>
  <si>
    <t>Indien</t>
  </si>
  <si>
    <t>Indonesia</t>
  </si>
  <si>
    <t>Indonesien</t>
  </si>
  <si>
    <t>Philippines</t>
  </si>
  <si>
    <t>Philippinen</t>
  </si>
  <si>
    <t>Filipinas</t>
  </si>
  <si>
    <t>Saudi Arabia</t>
  </si>
  <si>
    <t>Saudi-Arabien</t>
  </si>
  <si>
    <t>Arabia Saudí</t>
  </si>
  <si>
    <t>Taiwan</t>
  </si>
  <si>
    <t>Taiwán</t>
  </si>
  <si>
    <t>Thailand</t>
  </si>
  <si>
    <t>Tailandia</t>
  </si>
  <si>
    <t>UAE</t>
  </si>
  <si>
    <t>VAE</t>
  </si>
  <si>
    <t>EAU</t>
  </si>
  <si>
    <t>Argentina</t>
  </si>
  <si>
    <t>Argentinien</t>
  </si>
  <si>
    <t>Brasilien</t>
  </si>
  <si>
    <t>Brasil</t>
  </si>
  <si>
    <t>Mexico</t>
  </si>
  <si>
    <t>Mexiko</t>
  </si>
  <si>
    <t>México</t>
  </si>
  <si>
    <t>Nigeria</t>
  </si>
  <si>
    <t>South Africa</t>
  </si>
  <si>
    <t>Südafrika</t>
  </si>
  <si>
    <t>Sudáfrica</t>
  </si>
  <si>
    <t>USA</t>
  </si>
  <si>
    <t>EEUU</t>
  </si>
  <si>
    <t>Other - Structured</t>
  </si>
  <si>
    <t>Otro - Estructurado</t>
  </si>
  <si>
    <t>Which property value is used in LTV calculation?</t>
  </si>
  <si>
    <t>Welcher Beleihungswert der Immobilie wird für die LTV-Berechnung verwendet?</t>
  </si>
  <si>
    <t>¿Qué valor de la propiedad fue usado en el calculo del LTV?</t>
  </si>
  <si>
    <t>Property value at origination</t>
  </si>
  <si>
    <t>Beleihungswert der Immobilie bei Entstehung</t>
  </si>
  <si>
    <t>Valor de la propiedad a originacion</t>
  </si>
  <si>
    <t>Updated property value</t>
  </si>
  <si>
    <t>Aktualiesierter Beleihungswert der Immobilie</t>
  </si>
  <si>
    <t>Valor actualizado de la propiedad</t>
  </si>
  <si>
    <t>Loan concentration: aggregate exposure to largest 10 loans (in %)</t>
  </si>
  <si>
    <t>Kreditkonzentration: Gesamtengagement in den 10 größten Krediten (in %)</t>
  </si>
  <si>
    <t>El porcentaje acumulado de los 10 mayores prestamos</t>
  </si>
  <si>
    <t>Exposure to loans in non-standard currency (in %)</t>
  </si>
  <si>
    <t>Exposition von  Krediten in Nichtstandardwährung (in %)</t>
  </si>
  <si>
    <t>Porcentaje de prestamos en divisa extranjera</t>
  </si>
  <si>
    <t>Energy Efficiency</t>
  </si>
  <si>
    <t>Energieeffizienz</t>
  </si>
  <si>
    <t>Eficiencia energetica</t>
  </si>
  <si>
    <t>Energy Performance Certificate or other measure of energy efficiency - use blended score/rating for multiple properties</t>
  </si>
  <si>
    <t>Energieausweis oder ein anderes Maß für die Energieeffizienz - verwenden Sie die gemischte Bewertung für mehrere Immobilien</t>
  </si>
  <si>
    <t>Certificado de eficiencia energetica u otra medida de eficiencia energetica. Utilizar promedio cuando existe multiples propiedades</t>
  </si>
  <si>
    <t>Bullet repayment</t>
  </si>
  <si>
    <t>Partial bullet</t>
  </si>
  <si>
    <t>Fully amortising</t>
  </si>
  <si>
    <t>Partially amortising</t>
  </si>
  <si>
    <t>Term deposit</t>
  </si>
  <si>
    <t>Demand deposit</t>
  </si>
  <si>
    <t>Repo transaction</t>
  </si>
  <si>
    <t>Other repayment profile</t>
  </si>
  <si>
    <t>Posteo Colateral - Emisor</t>
  </si>
  <si>
    <t>Si</t>
  </si>
  <si>
    <t>Posteo Colateral - Contrapartida</t>
  </si>
  <si>
    <t>¿Debe la contrapartida postear colateral?</t>
  </si>
  <si>
    <t>Sicherheiten von Gegenpartei - Rating-Trigger</t>
  </si>
  <si>
    <t>Posteo Colateral - Contrapartida - Rating Minimo</t>
  </si>
  <si>
    <t>Bestehen für die Gegenpartei besondere Anforderungen an die Sicherheiten, wenn sie keine Mindestbonität oder -bewertung mehr aufweist? Wenn ja, geben Sie unten die Mindestbewertung ein.</t>
  </si>
  <si>
    <t>En caso de la pérdida del rating minimo por parte de la contrapartida, ¿debe continuar posteando colateral?</t>
  </si>
  <si>
    <t>Counterparty Posting - Collateral Amounts</t>
  </si>
  <si>
    <t>Sicherheiten von Gegenpartei - Sicherheitenbeträge</t>
  </si>
  <si>
    <t>Posteo Colateral - Contrapartida - Monto</t>
  </si>
  <si>
    <t>Select the option which best describes the amount of collateral to be posted by the counterparty after loss of the minimum rating/assessment entered in column X.</t>
  </si>
  <si>
    <t>Wählen Sie die Option aus, die die Höhe der Sicherheiten am besten beschreibt, die der Kontrahent nach dem Verlust des in Spalte X eingegebenen Mindestratings / der Mindestbewertung zu hinterlegen hat.</t>
  </si>
  <si>
    <t>Seleccionar la opcion que mejor describa el monto que la contrapartida debe postear como colateral, luego de la perdida del rating minimo</t>
  </si>
  <si>
    <t>MTM</t>
  </si>
  <si>
    <t>MTM plus buffer</t>
  </si>
  <si>
    <t>MTM plus Puffer</t>
  </si>
  <si>
    <t>MTM + buffer</t>
  </si>
  <si>
    <t>Counterparty Replacement</t>
  </si>
  <si>
    <t>Reemplazo de la contrapartida</t>
  </si>
  <si>
    <t>En caso de la pérdida del rating minimo por parte de la contrapartida, ¿los requerimientos de reemplazo continuarian vigentes?</t>
  </si>
  <si>
    <t>Fixed rate with no reset</t>
  </si>
  <si>
    <t>Fest verzinslich ohne reset</t>
  </si>
  <si>
    <t>Tipo fijo de por vida</t>
  </si>
  <si>
    <t>Supranational - direct claim</t>
  </si>
  <si>
    <t>Supranational - direkter Anspruch</t>
  </si>
  <si>
    <t>Sovereign - direct claim</t>
  </si>
  <si>
    <t>Staat - direkter Anspruch</t>
  </si>
  <si>
    <t>Soberano - Recurso directo</t>
  </si>
  <si>
    <t>Sovereign - guarantee</t>
  </si>
  <si>
    <t>Staat - Garantie</t>
  </si>
  <si>
    <t>Soberano - Garantizado</t>
  </si>
  <si>
    <t>Other public sector - direct claim</t>
  </si>
  <si>
    <t>Anderer öffentlicher Sektor - direkte Anspruch</t>
  </si>
  <si>
    <t>Otro sector publico - Recurso directo</t>
  </si>
  <si>
    <t>Other public sector - guarantee</t>
  </si>
  <si>
    <t>Sonstiger öffentlicher Sektor - Garantie</t>
  </si>
  <si>
    <t>Otro sector publico - Garantizado</t>
  </si>
  <si>
    <t>Bank deposit</t>
  </si>
  <si>
    <t>Bankeinlage</t>
  </si>
  <si>
    <t>Deposito bancario</t>
  </si>
  <si>
    <t>Bank bond (unsecured)</t>
  </si>
  <si>
    <t>Bankanleihe (ungesichert)</t>
  </si>
  <si>
    <t>Bono bancario</t>
  </si>
  <si>
    <t>Covered bond</t>
  </si>
  <si>
    <t>Pfandbrief</t>
  </si>
  <si>
    <t>Securitisation</t>
  </si>
  <si>
    <t>Verbriefung</t>
  </si>
  <si>
    <t>Titulizacion</t>
  </si>
  <si>
    <t>Other eligible asset</t>
  </si>
  <si>
    <t>Andere deckungsstockfähige Vermögen</t>
  </si>
  <si>
    <t>Otro activo elegible</t>
  </si>
  <si>
    <t>Bullet Rückzahlung</t>
  </si>
  <si>
    <t>Teilweise bullet Rückzahlung</t>
  </si>
  <si>
    <t>Völlig amortisierend</t>
  </si>
  <si>
    <t>Teilweise amortisiert</t>
  </si>
  <si>
    <t>Termineinlage</t>
  </si>
  <si>
    <t>Geforderte Einlage</t>
  </si>
  <si>
    <t>Repo-Transaktion</t>
  </si>
  <si>
    <t>Anderes Rückzahlungsprofil</t>
  </si>
  <si>
    <t>LEI</t>
  </si>
  <si>
    <t>KR</t>
  </si>
  <si>
    <t>Legal Entity Identifier</t>
  </si>
  <si>
    <t>Kennzeichnung von Rechtsträger</t>
  </si>
  <si>
    <t>Identificador Legal de la Entidad</t>
  </si>
  <si>
    <t>Kontrahentenbuchung - Sicherheitenbeträge</t>
  </si>
  <si>
    <t>Andere</t>
  </si>
  <si>
    <t>REDs</t>
  </si>
  <si>
    <t>Immobilienentwickler</t>
  </si>
  <si>
    <t>EXPORT FINANCE</t>
  </si>
  <si>
    <t>Export Finance</t>
  </si>
  <si>
    <t>Prestamos a la Exportacion</t>
  </si>
  <si>
    <t>Country of the borrower / importer</t>
  </si>
  <si>
    <t>Land des Schuldners / Importeurs</t>
  </si>
  <si>
    <t>País del Deudor / Importador</t>
  </si>
  <si>
    <t>Export Credit Agency (ECA) Name</t>
  </si>
  <si>
    <t>Name der Exportkreditagentur (EKA)</t>
  </si>
  <si>
    <t>Nombre ECA</t>
  </si>
  <si>
    <t>Country of the ECA</t>
  </si>
  <si>
    <t>Sitzland der EKA</t>
  </si>
  <si>
    <t>País ECA</t>
  </si>
  <si>
    <t>Percentage covered by the ECA</t>
  </si>
  <si>
    <t>Deckung durch EKA in Prozent</t>
  </si>
  <si>
    <t>% COBERTURA ECA</t>
  </si>
  <si>
    <t>Does the ECA act on behalf of the national government?</t>
  </si>
  <si>
    <t>Handelt die EKA im Auftrag des Zentralstaats?</t>
  </si>
  <si>
    <t>Actua la ECA en nombre y por cuenta del estado al que representa?</t>
  </si>
  <si>
    <t>Guarantee type</t>
  </si>
  <si>
    <t>Garantietyp</t>
  </si>
  <si>
    <t>Tipo de gatantía</t>
  </si>
  <si>
    <t>Loan balance (amount disbursed)</t>
  </si>
  <si>
    <t>Kreditsaldo (ausgezahlter Betrag)</t>
  </si>
  <si>
    <t>Importe Contable Dispuesto</t>
  </si>
  <si>
    <t>Loan balance (amount disbursed) covered by the ECA</t>
  </si>
  <si>
    <t>Kreditsaldo (ausgezahlter Betrag) gedeckt durch EKA</t>
  </si>
  <si>
    <t>Importe Dispuesto Cubierto por la ECA</t>
  </si>
  <si>
    <t>Outstanding balance not disbursed</t>
  </si>
  <si>
    <t>Freie Linie</t>
  </si>
  <si>
    <t>Saldo Pendiente Disponer</t>
  </si>
  <si>
    <t>Was the loan originated or bought?</t>
  </si>
  <si>
    <t>Wurde der Kredit selbst vergeben oder gekauft?</t>
  </si>
  <si>
    <t>Préstamo original o adquirido?</t>
  </si>
  <si>
    <t>Is it a syndicated loan?</t>
  </si>
  <si>
    <t>Ist es ein Konsortialkredit?</t>
  </si>
  <si>
    <t>Préstamo sindicado?</t>
  </si>
  <si>
    <t>Lenders</t>
  </si>
  <si>
    <t>Kreditgeber</t>
  </si>
  <si>
    <t>Prestamistas</t>
  </si>
  <si>
    <t>Facility Agent</t>
  </si>
  <si>
    <t>Representante</t>
  </si>
  <si>
    <t>Security Trustee</t>
  </si>
  <si>
    <t>Sicherheitentreuhänder</t>
  </si>
  <si>
    <t>Agente Fiduciario</t>
  </si>
  <si>
    <t>Other guarantors</t>
  </si>
  <si>
    <t>Andere Garantiegeber</t>
  </si>
  <si>
    <t>Otros Garantes</t>
  </si>
  <si>
    <t>Arranger</t>
  </si>
  <si>
    <t>Estructurador</t>
  </si>
  <si>
    <t>Loan description</t>
  </si>
  <si>
    <t>Beschreibung des Kredits</t>
  </si>
  <si>
    <t>Descripción del Préstamo</t>
  </si>
  <si>
    <t>Financial Holding Company</t>
  </si>
  <si>
    <t>Holding Financiero</t>
  </si>
  <si>
    <t>Transport</t>
  </si>
  <si>
    <t>Transporte</t>
  </si>
  <si>
    <t>Construction</t>
  </si>
  <si>
    <t>Construcción</t>
  </si>
  <si>
    <t>Telecommunications</t>
  </si>
  <si>
    <t>Telecomunicaciones</t>
  </si>
  <si>
    <t>Commodities</t>
  </si>
  <si>
    <t>Industria</t>
  </si>
  <si>
    <t>Water and Sanitation</t>
  </si>
  <si>
    <t>Agua y Saneamiento</t>
  </si>
  <si>
    <t>Otros</t>
  </si>
  <si>
    <t>Originated</t>
  </si>
  <si>
    <t>Original</t>
  </si>
  <si>
    <t>Bought</t>
  </si>
  <si>
    <t>Adquirido</t>
  </si>
  <si>
    <t>Individual Information on Export Finance Assets</t>
  </si>
  <si>
    <t>Información individual de los Prestamos a la Exportacion</t>
  </si>
  <si>
    <t>For syndicated loans</t>
  </si>
  <si>
    <t>Para prestamos sindicados</t>
  </si>
  <si>
    <t>Total loan balance (amount disbursed + not disbursed)</t>
  </si>
  <si>
    <t>Gesamter KREDITSALDO (ausbezahlter Betrag + nicht ausbezahlter Betrag)</t>
  </si>
  <si>
    <t>Cantidad Nominal Total del Credito (Saldo vivo no amortizado)</t>
  </si>
  <si>
    <t>Amount of non-recourse to sponsor/iniator</t>
  </si>
  <si>
    <t>Betrag der Darlehen ohne persoenliche Haftung des Sponsors/Eigenkapitalgebers</t>
  </si>
  <si>
    <t>Monto sin recurso a sponsor</t>
  </si>
  <si>
    <t>LOAN BALANCE - 3</t>
  </si>
  <si>
    <t>KREDITSALDO - 3</t>
  </si>
  <si>
    <t>SALDO VIVO del PRÉSTAMO - 3</t>
  </si>
  <si>
    <t>The current LOAN BALANCE - 3 in DEFAULT CURRENCY (=functional currency, e.g. for Austrian issuers: EUR).</t>
  </si>
  <si>
    <t>Aktueller KREDITSALDO - 3 in STANDARDWÄHRUNG (=funktionale Währung, für deutsche Emittenten i.d.R. EUR).</t>
  </si>
  <si>
    <t>Saldo vivo del Préstamo - 3 en la DIVISA ESTÁNDAR</t>
  </si>
  <si>
    <t>LOAN BALANCE - 4</t>
  </si>
  <si>
    <t>KREDITSALDO - 4</t>
  </si>
  <si>
    <t>SALDO VIVO del PRÉSTAMO - 4</t>
  </si>
  <si>
    <t>The current LOAN BALANCE - 3 in currency of the loan.</t>
  </si>
  <si>
    <t>Aktueller KREDITSALDO - 3 in der Währung des Kredits.</t>
  </si>
  <si>
    <t>Saldo vivo del Préstamo - 3 en la DIVISA del Préstamo</t>
  </si>
  <si>
    <t>ELIGIBLE-LTV</t>
  </si>
  <si>
    <t>DECKUNGSTEIL-Beleihungsquote</t>
  </si>
  <si>
    <t>LTV ELEGIBLE</t>
  </si>
  <si>
    <t>See definition page for ELIGIBLE-LTV. E.g. 0.98 or 98%</t>
  </si>
  <si>
    <t>Vgl. ELIGIBLE-LTV. Z.B. 0.98 oder 98%</t>
  </si>
  <si>
    <t>Ver definición de LTV ELEGIBLE. Por ejemplo, 0.98 o 98%</t>
  </si>
  <si>
    <t>Select "Yes" for each series which should not be listed on the bond list in Performance Overviews</t>
  </si>
  <si>
    <t>“Ja” verhindert dass die Serie in den Performance Overviews aufgelistet wird</t>
  </si>
  <si>
    <r>
      <t xml:space="preserve">Seleccionar "Si" para evitar que la emisión sea publicada en el </t>
    </r>
    <r>
      <rPr>
        <i/>
        <sz val="10"/>
        <rFont val="Arial"/>
        <family val="2"/>
      </rPr>
      <t>Performance Overview</t>
    </r>
  </si>
  <si>
    <t>C. ISIN List</t>
  </si>
  <si>
    <t>Share of Government Guaranteed Bank Bonds (own issues or issued by affiliates) (% of total cover pool)</t>
  </si>
  <si>
    <t>Share of Intragroup pooled covered bond structures pursuant to CBD Art 8 (% of total cover pool)</t>
  </si>
  <si>
    <t>AT0000A0SDT6</t>
  </si>
  <si>
    <t>AT0000A0SDS8</t>
  </si>
  <si>
    <t>AT0000A0V537</t>
  </si>
  <si>
    <t>XS2013520023</t>
  </si>
  <si>
    <t>XS2058855441</t>
  </si>
  <si>
    <t>XS2106563161</t>
  </si>
  <si>
    <t>XS2234573710</t>
  </si>
  <si>
    <t>XS2259776230</t>
  </si>
  <si>
    <t>XS2320539765</t>
  </si>
  <si>
    <t>XS2340854848</t>
  </si>
  <si>
    <t>XS2380748439</t>
  </si>
  <si>
    <t>XS2429205540</t>
  </si>
  <si>
    <t>XS2468221747</t>
  </si>
  <si>
    <t>XS2487770104</t>
  </si>
  <si>
    <t>XS2523326853</t>
  </si>
  <si>
    <t>XS2556232143</t>
  </si>
  <si>
    <t>XS2570759154</t>
  </si>
  <si>
    <t>AT0000A325B1</t>
  </si>
  <si>
    <t>CH1243018798</t>
  </si>
  <si>
    <t>CH1256367165</t>
  </si>
  <si>
    <t>XS2618704014</t>
  </si>
  <si>
    <t>CH1231094363</t>
  </si>
  <si>
    <t>https://www.bawaggroup.com/en/investor-relations/debt-investor/fundings/covered-bonds/mortgage-covered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</si>
</sst>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_(&quot;$&quot;* #,##0.00_);_(&quot;$&quot;* \(#,##0.00\);_(&quot;$&quot;* &quot;-&quot;??_);_(@_)"/>
    <numFmt numFmtId="166" formatCode="0.00,,"/>
    <numFmt numFmtId="167" formatCode="#,##0.0"/>
    <numFmt numFmtId="168" formatCode="0.0%"/>
    <numFmt numFmtId="169" formatCode="0.0"/>
    <numFmt numFmtId="170" formatCode="0.000%"/>
    <numFmt numFmtId="171" formatCode="0.0000000000000000%"/>
    <numFmt numFmtId="172" formatCode="0.000000000000000%"/>
    <numFmt numFmtId="173" formatCode="0.000000%"/>
    <numFmt numFmtId="174" formatCode="0.0,,"/>
  </numFmts>
  <fonts count="7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2"/>
      <color indexed="56"/>
      <name val="Arial Black"/>
      <family val="2"/>
    </font>
    <font>
      <b/>
      <sz val="10"/>
      <name val="Arial"/>
      <family val="2"/>
    </font>
    <font>
      <sz val="10"/>
      <name val="Arial"/>
      <family val="2"/>
    </font>
    <font>
      <b/>
      <sz val="9"/>
      <name val="Arial"/>
      <family val="2"/>
    </font>
    <font>
      <sz val="9"/>
      <name val="Arial"/>
      <family val="2"/>
    </font>
    <font>
      <sz val="14"/>
      <name val="Arial"/>
      <family val="2"/>
    </font>
    <font>
      <i/>
      <sz val="10"/>
      <name val="Arial"/>
      <family val="2"/>
    </font>
    <font>
      <b/>
      <sz val="12"/>
      <name val="Arial"/>
      <family val="2"/>
    </font>
    <font>
      <sz val="12"/>
      <name val="Arial Black"/>
      <family val="2"/>
    </font>
    <font>
      <sz val="12"/>
      <name val="Times New Roman"/>
      <family val="1"/>
    </font>
    <font>
      <u/>
      <sz val="12"/>
      <name val="Times New Roman"/>
      <family val="1"/>
    </font>
    <font>
      <b/>
      <sz val="10"/>
      <color indexed="10"/>
      <name val="Arial"/>
      <family val="2"/>
    </font>
    <font>
      <b/>
      <i/>
      <sz val="10"/>
      <name val="Arial"/>
      <family val="2"/>
    </font>
    <font>
      <b/>
      <u/>
      <sz val="10"/>
      <name val="Arial"/>
      <family val="2"/>
    </font>
    <font>
      <sz val="11"/>
      <name val="Arial"/>
      <family val="2"/>
    </font>
    <font>
      <b/>
      <i/>
      <u/>
      <sz val="12"/>
      <name val="Times New Roman"/>
      <family val="1"/>
    </font>
    <font>
      <i/>
      <sz val="10"/>
      <name val="Times New Roman"/>
      <family val="1"/>
    </font>
    <font>
      <sz val="14"/>
      <name val="Arial Black"/>
      <family val="2"/>
    </font>
    <font>
      <i/>
      <sz val="8"/>
      <name val="Arial"/>
      <family val="2"/>
    </font>
    <font>
      <i/>
      <sz val="14"/>
      <name val="Arial Black"/>
      <family val="2"/>
    </font>
    <font>
      <b/>
      <i/>
      <u/>
      <sz val="10"/>
      <name val="Times New Roman"/>
      <family val="1"/>
    </font>
    <font>
      <b/>
      <i/>
      <sz val="12"/>
      <name val="Times New Roman"/>
      <family val="1"/>
    </font>
    <font>
      <i/>
      <sz val="12"/>
      <name val="Times New Roman"/>
      <family val="1"/>
    </font>
    <font>
      <sz val="7"/>
      <color indexed="8"/>
      <name val="Verdana"/>
      <family val="2"/>
    </font>
    <font>
      <sz val="10"/>
      <name val="Bliss Pro Light"/>
      <family val="3"/>
    </font>
    <font>
      <b/>
      <i/>
      <sz val="9"/>
      <name val="Bliss Pro Light"/>
      <family val="3"/>
    </font>
    <font>
      <sz val="10"/>
      <name val="Arial"/>
      <family val="2"/>
    </font>
    <font>
      <b/>
      <sz val="9"/>
      <color indexed="81"/>
      <name val="Tahoma"/>
      <family val="2"/>
    </font>
    <font>
      <sz val="9"/>
      <color indexed="81"/>
      <name val="Tahoma"/>
      <family val="2"/>
    </font>
    <font>
      <sz val="12"/>
      <name val="Arial"/>
      <family val="2"/>
    </font>
    <font>
      <sz val="20"/>
      <color rgb="FF009BE1"/>
      <name val="Bliss Pro ExtraLight"/>
      <family val="3"/>
    </font>
    <font>
      <sz val="8"/>
      <color rgb="FF808080"/>
      <name val="Bliss Pro Bold"/>
      <family val="3"/>
    </font>
    <font>
      <sz val="10"/>
      <color rgb="FF91969B"/>
      <name val="Bliss Pro ExtraLight"/>
      <family val="3"/>
    </font>
    <font>
      <sz val="10"/>
      <color rgb="FFBE0F34"/>
      <name val="Bliss Pro Light"/>
      <family val="3"/>
    </font>
    <font>
      <sz val="14"/>
      <color rgb="FF0070C0"/>
      <name val="Bliss Pro Medium"/>
      <family val="3"/>
    </font>
    <font>
      <sz val="11"/>
      <color theme="1"/>
      <name val="Bliss Pro Light"/>
      <family val="3"/>
    </font>
    <font>
      <sz val="9"/>
      <color theme="1"/>
      <name val="Calibri"/>
      <family val="2"/>
      <scheme val="minor"/>
    </font>
    <font>
      <sz val="10"/>
      <color theme="1"/>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b/>
      <sz val="14"/>
      <color theme="0"/>
      <name val="Calibri"/>
      <family val="2"/>
      <scheme val="minor"/>
    </font>
    <font>
      <b/>
      <sz val="14"/>
      <color theme="1"/>
      <name val="Calibri"/>
      <family val="2"/>
      <scheme val="minor"/>
    </font>
    <font>
      <sz val="11"/>
      <name val="Calibri"/>
      <family val="2"/>
      <scheme val="minor"/>
    </font>
    <font>
      <b/>
      <u/>
      <sz val="1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i/>
      <sz val="11"/>
      <name val="Calibri"/>
      <family val="2"/>
      <scheme val="minor"/>
    </font>
    <font>
      <b/>
      <u/>
      <sz val="11"/>
      <color theme="10"/>
      <name val="Calibri"/>
      <family val="2"/>
      <scheme val="minor"/>
    </font>
    <font>
      <b/>
      <sz val="11"/>
      <name val="Calibri"/>
      <family val="2"/>
      <scheme val="minor"/>
    </font>
    <font>
      <b/>
      <i/>
      <sz val="11"/>
      <name val="Calibri"/>
      <family val="2"/>
      <scheme val="minor"/>
    </font>
    <font>
      <b/>
      <i/>
      <sz val="11"/>
      <color theme="1"/>
      <name val="Calibri"/>
      <family val="2"/>
      <scheme val="minor"/>
    </font>
    <font>
      <b/>
      <sz val="10"/>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color theme="1"/>
      <name val="Calibri"/>
      <family val="2"/>
      <scheme val="minor"/>
    </font>
    <font>
      <b/>
      <i/>
      <sz val="14"/>
      <color theme="0"/>
      <name val="Calibri"/>
      <family val="2"/>
      <scheme val="minor"/>
    </font>
    <font>
      <b/>
      <u/>
      <sz val="10"/>
      <color rgb="FF0070C0"/>
      <name val="Arial"/>
      <family val="2"/>
    </font>
    <font>
      <sz val="10"/>
      <name val="Arial"/>
      <family val="2"/>
    </font>
    <font>
      <sz val="10"/>
      <name val="Calibri"/>
      <family val="2"/>
      <scheme val="minor"/>
    </font>
  </fonts>
  <fills count="17">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99CCFF"/>
        <bgColor indexed="64"/>
      </patternFill>
    </fill>
    <fill>
      <patternFill patternType="solid">
        <fgColor theme="0" tint="-0.14999847407452621"/>
        <bgColor indexed="64"/>
      </patternFill>
    </fill>
    <fill>
      <patternFill patternType="solid">
        <fgColor rgb="FF990000"/>
        <bgColor indexed="64"/>
      </patternFill>
    </fill>
    <fill>
      <patternFill patternType="solid">
        <fgColor rgb="FF847A75"/>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rgb="FF243386"/>
      </bottom>
      <diagonal/>
    </border>
    <border>
      <left/>
      <right style="medium">
        <color indexed="64"/>
      </right>
      <top style="medium">
        <color indexed="64"/>
      </top>
      <bottom style="medium">
        <color indexed="64"/>
      </bottom>
      <diagonal/>
    </border>
    <border>
      <left style="medium">
        <color rgb="FF990000"/>
      </left>
      <right style="medium">
        <color rgb="FF990000"/>
      </right>
      <top style="medium">
        <color rgb="FF990000"/>
      </top>
      <bottom/>
      <diagonal/>
    </border>
    <border>
      <left style="medium">
        <color rgb="FF990000"/>
      </left>
      <right style="medium">
        <color rgb="FF990000"/>
      </right>
      <top/>
      <bottom/>
      <diagonal/>
    </border>
    <border>
      <left style="medium">
        <color rgb="FF990000"/>
      </left>
      <right style="medium">
        <color rgb="FF990000"/>
      </right>
      <top/>
      <bottom style="medium">
        <color rgb="FF990000"/>
      </bottom>
      <diagonal/>
    </border>
  </borders>
  <cellStyleXfs count="8">
    <xf numFmtId="0" fontId="0" fillId="0" borderId="0">
      <alignment horizontal="left" wrapText="1"/>
    </xf>
    <xf numFmtId="164" fontId="7" fillId="0" borderId="0" applyFont="0" applyFill="0" applyBorder="0" applyAlignment="0" applyProtection="0"/>
    <xf numFmtId="0" fontId="20" fillId="0" borderId="0" applyNumberFormat="0" applyFill="0" applyBorder="0" applyAlignment="0" applyProtection="0">
      <alignment vertical="top"/>
      <protection locked="0"/>
    </xf>
    <xf numFmtId="0" fontId="11" fillId="0" borderId="0">
      <alignment horizontal="left" wrapText="1"/>
    </xf>
    <xf numFmtId="0" fontId="6" fillId="0" borderId="0"/>
    <xf numFmtId="0" fontId="54" fillId="0" borderId="0" applyNumberFormat="0" applyFill="0" applyBorder="0" applyAlignment="0" applyProtection="0"/>
    <xf numFmtId="9" fontId="6" fillId="0" borderId="0" applyFont="0" applyFill="0" applyBorder="0" applyAlignment="0" applyProtection="0"/>
    <xf numFmtId="9" fontId="69" fillId="0" borderId="0" applyFont="0" applyFill="0" applyBorder="0" applyAlignment="0" applyProtection="0"/>
  </cellStyleXfs>
  <cellXfs count="545">
    <xf numFmtId="0" fontId="0" fillId="0" borderId="0" xfId="0" applyAlignment="1"/>
    <xf numFmtId="0" fontId="10" fillId="0" borderId="0" xfId="0" applyFont="1" applyAlignment="1"/>
    <xf numFmtId="0" fontId="12" fillId="0" borderId="10" xfId="0" applyFont="1" applyBorder="1" applyAlignment="1">
      <alignment vertical="top" wrapText="1"/>
    </xf>
    <xf numFmtId="0" fontId="10" fillId="0" borderId="0" xfId="0" applyFont="1" applyAlignment="1">
      <alignment horizontal="center"/>
    </xf>
    <xf numFmtId="0" fontId="10" fillId="0" borderId="11" xfId="0" applyFont="1" applyBorder="1" applyAlignment="1"/>
    <xf numFmtId="0" fontId="10" fillId="0" borderId="4" xfId="0" applyFont="1" applyBorder="1" applyAlignment="1"/>
    <xf numFmtId="0" fontId="0" fillId="0" borderId="0" xfId="0" applyAlignment="1">
      <alignment horizontal="left"/>
    </xf>
    <xf numFmtId="0" fontId="10" fillId="0" borderId="14" xfId="0" applyFont="1" applyBorder="1" applyAlignment="1">
      <alignment vertical="top" wrapText="1"/>
    </xf>
    <xf numFmtId="0" fontId="7" fillId="0" borderId="0" xfId="0" applyFont="1">
      <alignment horizontal="left" wrapText="1"/>
    </xf>
    <xf numFmtId="0" fontId="17" fillId="2" borderId="2" xfId="0" applyFont="1" applyFill="1" applyBorder="1" applyAlignment="1">
      <alignment horizontal="left" vertical="center"/>
    </xf>
    <xf numFmtId="0" fontId="0" fillId="0" borderId="0" xfId="0" applyAlignment="1">
      <alignment horizontal="center"/>
    </xf>
    <xf numFmtId="0" fontId="0" fillId="0" borderId="0" xfId="0" applyAlignment="1">
      <alignment horizontal="center" vertical="center"/>
    </xf>
    <xf numFmtId="0" fontId="14" fillId="0" borderId="0" xfId="0" applyFont="1" applyAlignment="1">
      <alignment horizontal="left" vertical="center" wrapText="1"/>
    </xf>
    <xf numFmtId="0" fontId="18" fillId="0" borderId="0" xfId="0" applyFont="1" applyAlignment="1">
      <alignment horizontal="left" vertical="center" wrapText="1" indent="3"/>
    </xf>
    <xf numFmtId="0" fontId="18" fillId="0" borderId="0" xfId="0" quotePrefix="1" applyFont="1" applyAlignment="1">
      <alignment horizontal="left" vertical="center" wrapText="1" indent="3"/>
    </xf>
    <xf numFmtId="0" fontId="10" fillId="0" borderId="0" xfId="0" applyFont="1" applyAlignment="1">
      <alignment wrapText="1"/>
    </xf>
    <xf numFmtId="0" fontId="21" fillId="0" borderId="0" xfId="0" applyFont="1" applyAlignment="1"/>
    <xf numFmtId="0" fontId="19" fillId="0" borderId="0" xfId="0" applyFont="1" applyAlignment="1">
      <alignment horizontal="left" vertical="center" wrapText="1"/>
    </xf>
    <xf numFmtId="0" fontId="18" fillId="2" borderId="0" xfId="0" applyFont="1" applyFill="1" applyAlignment="1">
      <alignment horizontal="left" vertical="center" wrapText="1" indent="3"/>
    </xf>
    <xf numFmtId="0" fontId="10" fillId="2" borderId="14" xfId="0" applyFont="1" applyFill="1" applyBorder="1" applyProtection="1">
      <alignment horizontal="left" wrapText="1"/>
      <protection hidden="1"/>
    </xf>
    <xf numFmtId="0" fontId="10" fillId="0" borderId="0" xfId="0" applyFont="1" applyAlignment="1">
      <alignment horizontal="left" vertical="center" wrapText="1"/>
    </xf>
    <xf numFmtId="0" fontId="10" fillId="0" borderId="14" xfId="0" applyFont="1" applyBorder="1" applyAlignment="1">
      <alignment horizontal="left" vertical="center" wrapText="1"/>
    </xf>
    <xf numFmtId="0" fontId="10" fillId="2" borderId="0" xfId="0" applyFont="1" applyFill="1" applyAlignment="1">
      <alignment horizontal="left" vertical="center" wrapText="1"/>
    </xf>
    <xf numFmtId="0" fontId="10" fillId="2" borderId="0" xfId="0" applyFont="1" applyFill="1" applyAlignment="1">
      <alignment horizontal="center" vertical="center" wrapText="1"/>
    </xf>
    <xf numFmtId="0" fontId="10" fillId="2" borderId="0" xfId="0" applyFont="1" applyFill="1" applyAlignment="1">
      <alignment wrapText="1"/>
    </xf>
    <xf numFmtId="0" fontId="10" fillId="2" borderId="0" xfId="0" applyFont="1" applyFill="1" applyAlignment="1"/>
    <xf numFmtId="0" fontId="10" fillId="2" borderId="0" xfId="0" quotePrefix="1" applyFont="1" applyFill="1" applyAlignment="1">
      <alignment wrapText="1"/>
    </xf>
    <xf numFmtId="0" fontId="10" fillId="2" borderId="0" xfId="0" quotePrefix="1" applyFont="1" applyFill="1" applyAlignment="1"/>
    <xf numFmtId="0" fontId="21" fillId="2" borderId="0" xfId="0" applyFont="1" applyFill="1" applyAlignment="1">
      <alignment wrapText="1"/>
    </xf>
    <xf numFmtId="0" fontId="10" fillId="0" borderId="0" xfId="0" applyFont="1" applyAlignment="1">
      <alignment horizontal="left"/>
    </xf>
    <xf numFmtId="0" fontId="15" fillId="0" borderId="0" xfId="0" applyFont="1" applyAlignment="1">
      <alignment horizontal="center"/>
    </xf>
    <xf numFmtId="0" fontId="10" fillId="0" borderId="18" xfId="0" applyFont="1" applyBorder="1" applyAlignment="1">
      <alignment horizontal="left" vertical="center" wrapText="1"/>
    </xf>
    <xf numFmtId="0" fontId="10" fillId="2" borderId="18" xfId="0" applyFont="1" applyFill="1" applyBorder="1" applyAlignment="1">
      <alignment horizontal="left" vertical="center" wrapText="1"/>
    </xf>
    <xf numFmtId="0" fontId="18" fillId="0" borderId="18" xfId="0" applyFont="1" applyBorder="1" applyAlignment="1">
      <alignment horizontal="left" vertical="center" wrapText="1"/>
    </xf>
    <xf numFmtId="0" fontId="19" fillId="0" borderId="18" xfId="0" applyFont="1" applyBorder="1" applyAlignment="1">
      <alignment horizontal="left" vertical="center" wrapText="1"/>
    </xf>
    <xf numFmtId="0" fontId="18" fillId="0" borderId="18" xfId="0" quotePrefix="1" applyFont="1" applyBorder="1" applyAlignment="1">
      <alignment horizontal="left" vertical="center" wrapText="1" indent="3"/>
    </xf>
    <xf numFmtId="0" fontId="18" fillId="2" borderId="18" xfId="0" applyFont="1" applyFill="1" applyBorder="1" applyAlignment="1">
      <alignment horizontal="left" vertical="center" wrapText="1" indent="3"/>
    </xf>
    <xf numFmtId="0" fontId="10" fillId="2" borderId="18" xfId="0" applyFont="1" applyFill="1" applyBorder="1" applyAlignment="1">
      <alignment horizontal="center" vertical="center" wrapText="1"/>
    </xf>
    <xf numFmtId="0" fontId="10" fillId="2" borderId="18" xfId="0" applyFont="1" applyFill="1" applyBorder="1" applyAlignment="1">
      <alignment wrapText="1"/>
    </xf>
    <xf numFmtId="0" fontId="10" fillId="0" borderId="18" xfId="0" applyFont="1" applyBorder="1" applyAlignment="1"/>
    <xf numFmtId="0" fontId="21" fillId="0" borderId="18" xfId="0" applyFont="1" applyBorder="1" applyAlignment="1"/>
    <xf numFmtId="0" fontId="10" fillId="2" borderId="18" xfId="0" applyFont="1" applyFill="1" applyBorder="1" applyAlignment="1"/>
    <xf numFmtId="0" fontId="10" fillId="2" borderId="18" xfId="0" quotePrefix="1" applyFont="1" applyFill="1" applyBorder="1" applyAlignment="1">
      <alignment wrapText="1"/>
    </xf>
    <xf numFmtId="0" fontId="10" fillId="2" borderId="18" xfId="0" quotePrefix="1" applyFont="1" applyFill="1" applyBorder="1" applyAlignment="1"/>
    <xf numFmtId="0" fontId="21" fillId="2" borderId="18" xfId="0" applyFont="1" applyFill="1" applyBorder="1" applyAlignment="1">
      <alignment wrapText="1"/>
    </xf>
    <xf numFmtId="0" fontId="10" fillId="0" borderId="20" xfId="0" applyFont="1" applyBorder="1" applyAlignment="1">
      <alignment vertical="top" wrapText="1"/>
    </xf>
    <xf numFmtId="0" fontId="12" fillId="0" borderId="21" xfId="0" applyFont="1" applyBorder="1" applyAlignment="1">
      <alignment vertical="top" wrapText="1"/>
    </xf>
    <xf numFmtId="0" fontId="10" fillId="0" borderId="18" xfId="0" applyFont="1" applyBorder="1" applyAlignment="1">
      <alignment horizontal="left"/>
    </xf>
    <xf numFmtId="0" fontId="10" fillId="0" borderId="22" xfId="0" applyFont="1" applyBorder="1" applyAlignment="1"/>
    <xf numFmtId="0" fontId="17" fillId="2" borderId="23" xfId="0" applyFont="1" applyFill="1" applyBorder="1" applyAlignment="1">
      <alignment horizontal="left" vertical="center"/>
    </xf>
    <xf numFmtId="0" fontId="10" fillId="2" borderId="19" xfId="0" applyFont="1" applyFill="1" applyBorder="1" applyAlignment="1">
      <alignment vertical="center" wrapText="1"/>
    </xf>
    <xf numFmtId="0" fontId="10" fillId="0" borderId="18" xfId="0" quotePrefix="1" applyFont="1" applyBorder="1" applyAlignment="1">
      <alignment horizontal="left" vertical="center" wrapText="1"/>
    </xf>
    <xf numFmtId="0" fontId="15" fillId="0" borderId="18" xfId="0" applyFont="1" applyBorder="1" applyAlignment="1">
      <alignment horizontal="center"/>
    </xf>
    <xf numFmtId="0" fontId="10" fillId="0" borderId="20" xfId="0" applyFont="1" applyBorder="1" applyAlignment="1" applyProtection="1">
      <alignment vertical="top" wrapText="1"/>
      <protection hidden="1"/>
    </xf>
    <xf numFmtId="0" fontId="10" fillId="0" borderId="18" xfId="0" applyFont="1" applyBorder="1" applyAlignment="1">
      <alignment horizontal="center"/>
    </xf>
    <xf numFmtId="0" fontId="10" fillId="0" borderId="24" xfId="0" applyFont="1" applyBorder="1" applyAlignment="1">
      <alignment horizontal="left" vertical="center" wrapText="1"/>
    </xf>
    <xf numFmtId="0" fontId="10" fillId="0" borderId="3" xfId="0" applyFont="1" applyBorder="1" applyAlignment="1"/>
    <xf numFmtId="0" fontId="10" fillId="2" borderId="14" xfId="0" applyFont="1" applyFill="1" applyBorder="1" applyAlignment="1">
      <alignment horizontal="center" vertical="center" wrapText="1"/>
    </xf>
    <xf numFmtId="0" fontId="22" fillId="3" borderId="0" xfId="0" applyFont="1" applyFill="1" applyAlignment="1"/>
    <xf numFmtId="0" fontId="7" fillId="0" borderId="0" xfId="0" applyFont="1" applyAlignment="1"/>
    <xf numFmtId="0" fontId="10" fillId="2" borderId="0" xfId="0" applyFont="1" applyFill="1">
      <alignment horizontal="left" wrapText="1"/>
    </xf>
    <xf numFmtId="0" fontId="17" fillId="2" borderId="3" xfId="0" applyFont="1" applyFill="1" applyBorder="1" applyAlignment="1">
      <alignment horizontal="left" vertical="center"/>
    </xf>
    <xf numFmtId="0" fontId="17" fillId="2" borderId="3"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7" fillId="0" borderId="0" xfId="0" applyFont="1" applyAlignment="1">
      <alignment horizontal="left" vertical="center" wrapText="1"/>
    </xf>
    <xf numFmtId="0" fontId="7" fillId="4" borderId="0" xfId="0" applyFont="1" applyFill="1" applyAlignment="1">
      <alignment horizontal="left" vertical="center" wrapText="1"/>
    </xf>
    <xf numFmtId="0" fontId="7" fillId="0" borderId="0" xfId="0" applyFont="1" applyAlignment="1">
      <alignment vertical="center" wrapText="1"/>
    </xf>
    <xf numFmtId="0" fontId="24" fillId="2" borderId="25" xfId="0" applyFont="1" applyFill="1" applyBorder="1" applyAlignment="1" applyProtection="1">
      <alignment vertical="center" wrapText="1"/>
      <protection hidden="1"/>
    </xf>
    <xf numFmtId="0" fontId="10" fillId="2" borderId="23" xfId="2" applyFont="1" applyFill="1" applyBorder="1" applyAlignment="1" applyProtection="1">
      <alignment horizontal="left" vertical="center" wrapText="1"/>
    </xf>
    <xf numFmtId="0" fontId="10" fillId="2" borderId="3" xfId="2" applyFont="1" applyFill="1" applyBorder="1" applyAlignment="1" applyProtection="1">
      <alignment horizontal="left" vertical="center" wrapText="1"/>
    </xf>
    <xf numFmtId="0" fontId="26" fillId="2" borderId="23" xfId="0" applyFont="1" applyFill="1" applyBorder="1" applyAlignment="1">
      <alignment vertical="center" wrapText="1"/>
    </xf>
    <xf numFmtId="0" fontId="26" fillId="2" borderId="2" xfId="0" applyFont="1" applyFill="1" applyBorder="1" applyAlignment="1">
      <alignment vertical="center" wrapText="1"/>
    </xf>
    <xf numFmtId="0" fontId="17" fillId="0" borderId="18" xfId="0" applyFont="1" applyBorder="1" applyAlignment="1">
      <alignment horizontal="left" vertical="center" wrapText="1"/>
    </xf>
    <xf numFmtId="0" fontId="17" fillId="0" borderId="0" xfId="0" applyFont="1" applyAlignment="1">
      <alignment horizontal="left" vertical="center" wrapText="1"/>
    </xf>
    <xf numFmtId="0" fontId="10" fillId="2" borderId="23" xfId="0" applyFont="1" applyFill="1" applyBorder="1" applyAlignment="1">
      <alignment vertical="center"/>
    </xf>
    <xf numFmtId="0" fontId="10" fillId="2" borderId="3" xfId="0" applyFont="1" applyFill="1" applyBorder="1" applyAlignment="1">
      <alignment vertical="center"/>
    </xf>
    <xf numFmtId="0" fontId="10" fillId="0" borderId="18" xfId="0" applyFont="1" applyBorder="1" applyAlignment="1">
      <alignment vertical="center"/>
    </xf>
    <xf numFmtId="0" fontId="10" fillId="2" borderId="26" xfId="0" applyFont="1" applyFill="1" applyBorder="1" applyAlignment="1">
      <alignment vertical="center"/>
    </xf>
    <xf numFmtId="0" fontId="10" fillId="2" borderId="6" xfId="0" applyFont="1" applyFill="1" applyBorder="1" applyAlignment="1">
      <alignment vertical="center"/>
    </xf>
    <xf numFmtId="0" fontId="10" fillId="2" borderId="18" xfId="0" applyFont="1" applyFill="1" applyBorder="1" applyAlignment="1">
      <alignment vertical="center"/>
    </xf>
    <xf numFmtId="0" fontId="10" fillId="2" borderId="4" xfId="0" applyFont="1" applyFill="1" applyBorder="1" applyAlignment="1">
      <alignment vertical="center"/>
    </xf>
    <xf numFmtId="0" fontId="10" fillId="2" borderId="21" xfId="0" applyFont="1" applyFill="1" applyBorder="1" applyAlignment="1">
      <alignment vertical="center"/>
    </xf>
    <xf numFmtId="0" fontId="10" fillId="2" borderId="9" xfId="0" applyFont="1" applyFill="1" applyBorder="1" applyAlignment="1">
      <alignment vertical="center"/>
    </xf>
    <xf numFmtId="0" fontId="10" fillId="2" borderId="23" xfId="0" applyFont="1" applyFill="1" applyBorder="1" applyAlignment="1">
      <alignment vertical="center" wrapText="1"/>
    </xf>
    <xf numFmtId="0" fontId="10" fillId="2" borderId="3" xfId="0" applyFont="1" applyFill="1" applyBorder="1" applyAlignment="1">
      <alignment vertical="center" wrapText="1"/>
    </xf>
    <xf numFmtId="0" fontId="22" fillId="3" borderId="18" xfId="0" applyFont="1" applyFill="1" applyBorder="1" applyAlignment="1"/>
    <xf numFmtId="0" fontId="10" fillId="2" borderId="26" xfId="0" applyFont="1" applyFill="1" applyBorder="1" applyAlignment="1">
      <alignment vertical="center" wrapText="1"/>
    </xf>
    <xf numFmtId="0" fontId="10" fillId="2" borderId="6" xfId="0" applyFont="1" applyFill="1" applyBorder="1" applyAlignment="1">
      <alignment vertical="center" wrapText="1"/>
    </xf>
    <xf numFmtId="0" fontId="10" fillId="2" borderId="27"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7" fillId="2" borderId="28"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17" fillId="0" borderId="18" xfId="0" applyFont="1" applyBorder="1" applyAlignment="1">
      <alignment horizontal="left" vertical="center"/>
    </xf>
    <xf numFmtId="0" fontId="17" fillId="0" borderId="0" xfId="0" applyFont="1" applyAlignment="1">
      <alignment horizontal="left" vertical="center"/>
    </xf>
    <xf numFmtId="0" fontId="10" fillId="0" borderId="23" xfId="0" applyFont="1" applyBorder="1" applyAlignment="1"/>
    <xf numFmtId="0" fontId="17" fillId="2" borderId="23" xfId="0" applyFont="1" applyFill="1" applyBorder="1" applyAlignment="1">
      <alignment horizontal="left" vertical="center" wrapText="1"/>
    </xf>
    <xf numFmtId="0" fontId="10" fillId="0" borderId="19" xfId="0" applyFont="1" applyBorder="1" applyAlignment="1">
      <alignment horizontal="left"/>
    </xf>
    <xf numFmtId="0" fontId="10" fillId="0" borderId="17" xfId="0" applyFont="1" applyBorder="1" applyAlignment="1">
      <alignment horizontal="left"/>
    </xf>
    <xf numFmtId="0" fontId="16" fillId="2" borderId="23" xfId="2" applyFont="1" applyFill="1" applyBorder="1" applyAlignment="1" applyProtection="1">
      <alignment horizontal="left" vertical="center" wrapText="1"/>
    </xf>
    <xf numFmtId="0" fontId="16" fillId="2" borderId="3" xfId="2" applyFont="1" applyFill="1" applyBorder="1" applyAlignment="1" applyProtection="1">
      <alignment horizontal="left" vertical="center" wrapText="1"/>
    </xf>
    <xf numFmtId="0" fontId="17" fillId="2" borderId="28"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2" borderId="23" xfId="0" applyFont="1" applyFill="1" applyBorder="1" applyAlignment="1">
      <alignment vertical="center" wrapText="1"/>
    </xf>
    <xf numFmtId="0" fontId="17" fillId="2" borderId="2" xfId="0" applyFont="1" applyFill="1" applyBorder="1" applyAlignment="1">
      <alignment vertical="center" wrapText="1"/>
    </xf>
    <xf numFmtId="0" fontId="10" fillId="2" borderId="0" xfId="0" applyFont="1" applyFill="1" applyAlignment="1">
      <alignment vertical="center"/>
    </xf>
    <xf numFmtId="0" fontId="10" fillId="0" borderId="18" xfId="0" applyFont="1" applyBorder="1" applyAlignment="1">
      <alignment vertical="center" wrapText="1"/>
    </xf>
    <xf numFmtId="0" fontId="10" fillId="0" borderId="4" xfId="0" applyFont="1" applyBorder="1" applyAlignment="1">
      <alignment vertical="center" wrapText="1"/>
    </xf>
    <xf numFmtId="0" fontId="17" fillId="2" borderId="20" xfId="0" applyFont="1" applyFill="1" applyBorder="1" applyAlignment="1">
      <alignment horizontal="left" vertical="center" wrapText="1"/>
    </xf>
    <xf numFmtId="0" fontId="10" fillId="0" borderId="27" xfId="0" applyFont="1" applyBorder="1" applyAlignment="1"/>
    <xf numFmtId="165" fontId="10" fillId="2" borderId="20" xfId="0" applyNumberFormat="1" applyFont="1" applyFill="1" applyBorder="1" applyAlignment="1">
      <alignment vertical="center" wrapText="1"/>
    </xf>
    <xf numFmtId="165" fontId="10" fillId="2" borderId="14" xfId="0" applyNumberFormat="1" applyFont="1" applyFill="1" applyBorder="1" applyAlignment="1">
      <alignment vertical="center" wrapText="1"/>
    </xf>
    <xf numFmtId="165" fontId="10" fillId="2" borderId="20" xfId="0" applyNumberFormat="1" applyFont="1" applyFill="1" applyBorder="1" applyAlignment="1" applyProtection="1">
      <alignment vertical="center" wrapText="1"/>
      <protection locked="0"/>
    </xf>
    <xf numFmtId="165" fontId="10" fillId="2" borderId="14" xfId="0" applyNumberFormat="1" applyFont="1" applyFill="1" applyBorder="1" applyAlignment="1" applyProtection="1">
      <alignment vertical="center" wrapText="1"/>
      <protection locked="0"/>
    </xf>
    <xf numFmtId="0" fontId="28" fillId="2" borderId="23" xfId="0" applyFont="1" applyFill="1" applyBorder="1" applyAlignment="1">
      <alignment vertical="center" wrapText="1"/>
    </xf>
    <xf numFmtId="0" fontId="28" fillId="2" borderId="2" xfId="0" applyFont="1" applyFill="1" applyBorder="1" applyAlignment="1">
      <alignment vertical="center" wrapText="1"/>
    </xf>
    <xf numFmtId="0" fontId="21" fillId="0" borderId="18" xfId="0" applyFont="1" applyBorder="1" applyAlignment="1">
      <alignment vertical="center"/>
    </xf>
    <xf numFmtId="0" fontId="21" fillId="2" borderId="26" xfId="0" applyFont="1" applyFill="1" applyBorder="1" applyAlignment="1">
      <alignment vertical="center"/>
    </xf>
    <xf numFmtId="0" fontId="21" fillId="2" borderId="6" xfId="0" applyFont="1" applyFill="1" applyBorder="1" applyAlignment="1">
      <alignment vertical="center"/>
    </xf>
    <xf numFmtId="0" fontId="10" fillId="2" borderId="27" xfId="0" applyFont="1" applyFill="1" applyBorder="1" applyAlignment="1">
      <alignment vertical="center"/>
    </xf>
    <xf numFmtId="0" fontId="10" fillId="2" borderId="13" xfId="0" applyFont="1" applyFill="1" applyBorder="1" applyAlignment="1">
      <alignment vertical="center"/>
    </xf>
    <xf numFmtId="0" fontId="13" fillId="2" borderId="19" xfId="0" applyFont="1" applyFill="1" applyBorder="1" applyAlignment="1">
      <alignment vertical="center" wrapText="1"/>
    </xf>
    <xf numFmtId="0" fontId="13" fillId="2" borderId="17" xfId="0" applyFont="1" applyFill="1" applyBorder="1" applyAlignment="1">
      <alignment vertical="center" wrapText="1"/>
    </xf>
    <xf numFmtId="0" fontId="10" fillId="2" borderId="12" xfId="0" applyFont="1" applyFill="1" applyBorder="1" applyAlignment="1">
      <alignment vertical="center" wrapText="1"/>
    </xf>
    <xf numFmtId="0" fontId="13" fillId="2" borderId="21" xfId="0" applyFont="1" applyFill="1" applyBorder="1" applyAlignment="1">
      <alignment vertical="center" wrapText="1"/>
    </xf>
    <xf numFmtId="0" fontId="13" fillId="2" borderId="10" xfId="0" applyFont="1" applyFill="1" applyBorder="1" applyAlignment="1">
      <alignment vertical="center" wrapText="1"/>
    </xf>
    <xf numFmtId="0" fontId="10" fillId="2" borderId="27" xfId="0" applyFont="1" applyFill="1" applyBorder="1" applyAlignment="1">
      <alignment vertical="center" wrapText="1"/>
    </xf>
    <xf numFmtId="0" fontId="10" fillId="2" borderId="13" xfId="0" applyFont="1" applyFill="1" applyBorder="1" applyAlignment="1">
      <alignment vertical="center" wrapText="1"/>
    </xf>
    <xf numFmtId="0" fontId="13" fillId="2" borderId="28" xfId="0" applyFont="1" applyFill="1" applyBorder="1" applyAlignment="1">
      <alignment vertical="center" wrapText="1"/>
    </xf>
    <xf numFmtId="0" fontId="13" fillId="2" borderId="16" xfId="0" applyFont="1" applyFill="1" applyBorder="1" applyAlignment="1">
      <alignment vertical="center" wrapText="1"/>
    </xf>
    <xf numFmtId="0" fontId="21" fillId="3" borderId="18" xfId="0" applyFont="1" applyFill="1" applyBorder="1" applyAlignment="1">
      <alignment vertical="center"/>
    </xf>
    <xf numFmtId="0" fontId="21" fillId="2" borderId="18" xfId="0" applyFont="1" applyFill="1" applyBorder="1" applyAlignment="1">
      <alignment vertical="center"/>
    </xf>
    <xf numFmtId="0" fontId="21" fillId="2" borderId="4" xfId="0" applyFont="1" applyFill="1" applyBorder="1" applyAlignment="1">
      <alignment vertical="center"/>
    </xf>
    <xf numFmtId="0" fontId="13" fillId="2" borderId="9" xfId="0" applyFont="1" applyFill="1" applyBorder="1" applyAlignment="1">
      <alignment vertical="center" wrapText="1"/>
    </xf>
    <xf numFmtId="0" fontId="10" fillId="2" borderId="18" xfId="0" applyFont="1" applyFill="1" applyBorder="1" applyAlignment="1">
      <alignment vertical="center" wrapText="1"/>
    </xf>
    <xf numFmtId="0" fontId="21" fillId="0" borderId="0" xfId="0" applyFont="1" applyAlignment="1">
      <alignment horizontal="left" vertical="center" wrapText="1"/>
    </xf>
    <xf numFmtId="0" fontId="21" fillId="0" borderId="18" xfId="0" applyFont="1" applyBorder="1" applyAlignment="1">
      <alignment horizontal="left" vertical="center" wrapText="1"/>
    </xf>
    <xf numFmtId="0" fontId="10" fillId="2" borderId="12" xfId="0" applyFont="1" applyFill="1" applyBorder="1" applyAlignment="1">
      <alignment vertical="center"/>
    </xf>
    <xf numFmtId="0" fontId="10" fillId="2" borderId="7" xfId="0" applyFont="1" applyFill="1" applyBorder="1" applyAlignment="1">
      <alignment vertical="center"/>
    </xf>
    <xf numFmtId="0" fontId="10" fillId="2" borderId="20" xfId="0" applyFont="1" applyFill="1" applyBorder="1" applyAlignment="1">
      <alignment vertical="center" wrapText="1"/>
    </xf>
    <xf numFmtId="0" fontId="10" fillId="2" borderId="14" xfId="0" applyFont="1" applyFill="1" applyBorder="1" applyAlignment="1">
      <alignmen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5" borderId="24" xfId="0" applyFont="1" applyFill="1" applyBorder="1" applyAlignment="1">
      <alignment horizontal="left" vertical="center" wrapText="1"/>
    </xf>
    <xf numFmtId="0" fontId="7" fillId="5" borderId="32" xfId="0" applyFont="1" applyFill="1" applyBorder="1" applyAlignment="1">
      <alignment horizontal="left" vertical="center" wrapText="1"/>
    </xf>
    <xf numFmtId="0" fontId="7" fillId="5" borderId="33" xfId="0" applyFont="1" applyFill="1" applyBorder="1" applyAlignment="1">
      <alignment horizontal="left" vertical="center" wrapText="1"/>
    </xf>
    <xf numFmtId="0" fontId="7" fillId="0" borderId="18" xfId="0" applyFont="1" applyBorder="1" applyAlignment="1">
      <alignment horizontal="left" vertical="center" wrapText="1"/>
    </xf>
    <xf numFmtId="0" fontId="7" fillId="0" borderId="18" xfId="0" applyFont="1" applyBorder="1" applyAlignment="1"/>
    <xf numFmtId="0" fontId="7" fillId="2" borderId="18" xfId="0" applyFont="1" applyFill="1" applyBorder="1" applyAlignment="1"/>
    <xf numFmtId="0" fontId="7" fillId="0" borderId="18" xfId="0" quotePrefix="1" applyFont="1" applyBorder="1" applyAlignment="1">
      <alignment wrapText="1"/>
    </xf>
    <xf numFmtId="0" fontId="7" fillId="0" borderId="18" xfId="0" applyFont="1" applyBorder="1" applyAlignment="1">
      <alignment horizontal="left"/>
    </xf>
    <xf numFmtId="0" fontId="7" fillId="0" borderId="27" xfId="0" applyFont="1" applyBorder="1" applyAlignment="1">
      <alignment horizontal="left"/>
    </xf>
    <xf numFmtId="0" fontId="7" fillId="0" borderId="19" xfId="0" applyFont="1" applyBorder="1" applyAlignment="1">
      <alignment horizontal="left"/>
    </xf>
    <xf numFmtId="0" fontId="7" fillId="0" borderId="19" xfId="2" applyFont="1" applyBorder="1" applyAlignment="1" applyProtection="1">
      <alignment horizontal="left"/>
    </xf>
    <xf numFmtId="0" fontId="7" fillId="0" borderId="34" xfId="0" applyFont="1" applyBorder="1" applyAlignment="1"/>
    <xf numFmtId="0" fontId="7" fillId="0" borderId="27" xfId="0" applyFont="1" applyBorder="1">
      <alignment horizontal="left" wrapText="1"/>
    </xf>
    <xf numFmtId="0" fontId="7" fillId="0" borderId="34" xfId="0" applyFont="1" applyBorder="1" applyAlignment="1">
      <alignment horizontal="left"/>
    </xf>
    <xf numFmtId="0" fontId="7" fillId="0" borderId="19" xfId="0" applyFont="1" applyBorder="1" applyAlignment="1"/>
    <xf numFmtId="0" fontId="7" fillId="0" borderId="19" xfId="0" applyFont="1" applyBorder="1">
      <alignment horizontal="left" wrapText="1"/>
    </xf>
    <xf numFmtId="0" fontId="7" fillId="0" borderId="22" xfId="0" applyFont="1" applyBorder="1">
      <alignment horizontal="left" wrapText="1"/>
    </xf>
    <xf numFmtId="0" fontId="7" fillId="0" borderId="18" xfId="0" applyFont="1" applyBorder="1">
      <alignment horizontal="left" wrapText="1"/>
    </xf>
    <xf numFmtId="0" fontId="7" fillId="0" borderId="35" xfId="0" applyFont="1" applyBorder="1" applyAlignment="1"/>
    <xf numFmtId="0" fontId="7" fillId="0" borderId="18" xfId="0" applyFont="1" applyBorder="1" applyAlignment="1">
      <alignment horizontal="left" indent="1"/>
    </xf>
    <xf numFmtId="0" fontId="7" fillId="0" borderId="18" xfId="0" applyFont="1" applyBorder="1" applyAlignment="1">
      <alignment horizontal="right"/>
    </xf>
    <xf numFmtId="0" fontId="7" fillId="0" borderId="18" xfId="0" applyFont="1" applyBorder="1" applyAlignment="1">
      <alignment horizontal="right" indent="1"/>
    </xf>
    <xf numFmtId="0" fontId="7" fillId="0" borderId="36" xfId="0" applyFont="1" applyBorder="1" applyAlignment="1"/>
    <xf numFmtId="0" fontId="7" fillId="0" borderId="27" xfId="0" applyFont="1" applyBorder="1" applyAlignment="1"/>
    <xf numFmtId="0" fontId="7" fillId="2" borderId="18" xfId="0" applyFont="1" applyFill="1" applyBorder="1" applyAlignment="1">
      <alignment horizontal="left"/>
    </xf>
    <xf numFmtId="0" fontId="7" fillId="0" borderId="18" xfId="0" quotePrefix="1" applyFont="1" applyBorder="1" applyAlignment="1">
      <alignment horizontal="left" vertical="center" wrapText="1"/>
    </xf>
    <xf numFmtId="0" fontId="7" fillId="0" borderId="0" xfId="0" quotePrefix="1" applyFont="1" applyAlignment="1">
      <alignment horizontal="left" vertical="center" wrapText="1"/>
    </xf>
    <xf numFmtId="0" fontId="7" fillId="0" borderId="18" xfId="0" quotePrefix="1" applyFont="1" applyBorder="1" applyAlignment="1"/>
    <xf numFmtId="0" fontId="7" fillId="5" borderId="0" xfId="0" applyFont="1" applyFill="1" applyAlignment="1">
      <alignment horizontal="left" vertical="center" wrapText="1"/>
    </xf>
    <xf numFmtId="0" fontId="7" fillId="5" borderId="31" xfId="0" applyFont="1" applyFill="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18" xfId="0" applyFont="1" applyBorder="1" applyAlignment="1">
      <alignment horizontal="center"/>
    </xf>
    <xf numFmtId="0" fontId="7" fillId="0" borderId="18" xfId="0" applyFont="1" applyBorder="1" applyAlignment="1">
      <alignment horizontal="center" vertical="center"/>
    </xf>
    <xf numFmtId="0" fontId="7" fillId="0" borderId="0" xfId="0" applyFont="1" applyAlignment="1">
      <alignment horizontal="center" vertical="center" wrapText="1"/>
    </xf>
    <xf numFmtId="0" fontId="10" fillId="0" borderId="0" xfId="0" applyFont="1" applyAlignment="1" applyProtection="1">
      <alignment wrapText="1"/>
      <protection locked="0"/>
    </xf>
    <xf numFmtId="0" fontId="29" fillId="2" borderId="29" xfId="0" applyFont="1" applyFill="1" applyBorder="1" applyAlignment="1" applyProtection="1">
      <alignment vertical="center" wrapText="1"/>
      <protection hidden="1"/>
    </xf>
    <xf numFmtId="0" fontId="10" fillId="0" borderId="0" xfId="0" quotePrefix="1" applyFont="1" applyAlignment="1">
      <alignment horizontal="left" vertical="center" wrapText="1"/>
    </xf>
    <xf numFmtId="0" fontId="23" fillId="0" borderId="14" xfId="0" applyFont="1" applyBorder="1" applyAlignment="1">
      <alignment horizontal="left" vertical="center" wrapText="1"/>
    </xf>
    <xf numFmtId="0" fontId="7" fillId="0" borderId="0" xfId="0" applyFont="1" applyAlignment="1">
      <alignment wrapText="1"/>
    </xf>
    <xf numFmtId="0" fontId="26" fillId="2" borderId="2" xfId="0" applyFont="1" applyFill="1" applyBorder="1" applyAlignment="1">
      <alignment horizontal="center" vertical="center" wrapText="1"/>
    </xf>
    <xf numFmtId="0" fontId="7" fillId="0" borderId="0" xfId="0" applyFont="1" applyAlignment="1">
      <alignment horizontal="center"/>
    </xf>
    <xf numFmtId="0" fontId="0" fillId="0" borderId="0" xfId="0" quotePrefix="1" applyAlignment="1">
      <alignment horizontal="left" vertical="center" wrapText="1"/>
    </xf>
    <xf numFmtId="0" fontId="10" fillId="2" borderId="18" xfId="0" applyFont="1" applyFill="1" applyBorder="1" applyAlignment="1">
      <alignment horizontal="left" vertical="top" wrapText="1"/>
    </xf>
    <xf numFmtId="0" fontId="7" fillId="6" borderId="0" xfId="0" applyFont="1" applyFill="1" applyAlignment="1">
      <alignment horizontal="left" vertical="center" wrapText="1"/>
    </xf>
    <xf numFmtId="0" fontId="18" fillId="0" borderId="18" xfId="0" quotePrefix="1" applyFont="1" applyBorder="1" applyAlignment="1">
      <alignment horizontal="left" vertical="center" wrapText="1"/>
    </xf>
    <xf numFmtId="0" fontId="0" fillId="0" borderId="0" xfId="0" applyAlignment="1">
      <alignment horizontal="center" vertical="center" wrapText="1"/>
    </xf>
    <xf numFmtId="0" fontId="0" fillId="0" borderId="0" xfId="0" quotePrefix="1" applyAlignment="1">
      <alignment horizontal="center" vertical="center" wrapText="1"/>
    </xf>
    <xf numFmtId="0" fontId="0" fillId="0" borderId="0" xfId="0" quotePrefix="1" applyAlignment="1" applyProtection="1">
      <alignment horizontal="left" vertical="center"/>
      <protection locked="0"/>
    </xf>
    <xf numFmtId="165" fontId="7" fillId="0" borderId="0" xfId="0" applyNumberFormat="1" applyFont="1" applyAlignment="1">
      <alignment horizontal="left" vertical="center" wrapText="1"/>
    </xf>
    <xf numFmtId="0" fontId="0" fillId="4" borderId="14" xfId="0" applyFill="1" applyBorder="1" applyAlignment="1">
      <alignment horizontal="center"/>
    </xf>
    <xf numFmtId="0" fontId="0" fillId="4" borderId="20" xfId="0" applyFill="1" applyBorder="1" applyAlignment="1">
      <alignment horizontal="center"/>
    </xf>
    <xf numFmtId="0" fontId="0" fillId="4" borderId="41" xfId="0" applyFill="1" applyBorder="1" applyAlignment="1">
      <alignment horizontal="center"/>
    </xf>
    <xf numFmtId="0" fontId="0" fillId="4" borderId="37" xfId="0" applyFill="1" applyBorder="1" applyAlignment="1">
      <alignment horizontal="center"/>
    </xf>
    <xf numFmtId="0" fontId="0" fillId="4" borderId="38" xfId="0" applyFill="1" applyBorder="1" applyAlignment="1">
      <alignment horizontal="center"/>
    </xf>
    <xf numFmtId="0" fontId="0" fillId="4" borderId="39" xfId="0" applyFill="1" applyBorder="1" applyAlignment="1">
      <alignment horizontal="center"/>
    </xf>
    <xf numFmtId="0" fontId="0" fillId="4" borderId="28" xfId="0" applyFill="1" applyBorder="1" applyAlignment="1">
      <alignment horizontal="center"/>
    </xf>
    <xf numFmtId="0" fontId="0" fillId="4" borderId="16" xfId="0" applyFill="1" applyBorder="1" applyAlignment="1">
      <alignment horizontal="center"/>
    </xf>
    <xf numFmtId="0" fontId="10" fillId="4" borderId="42" xfId="0" applyFont="1" applyFill="1" applyBorder="1" applyAlignment="1">
      <alignment horizontal="center"/>
    </xf>
    <xf numFmtId="0" fontId="10" fillId="4" borderId="43" xfId="0" applyFont="1" applyFill="1" applyBorder="1" applyAlignment="1">
      <alignment horizontal="center"/>
    </xf>
    <xf numFmtId="0" fontId="10" fillId="4" borderId="44" xfId="0" applyFont="1" applyFill="1" applyBorder="1" applyAlignment="1">
      <alignment horizontal="center"/>
    </xf>
    <xf numFmtId="0" fontId="18" fillId="0" borderId="0" xfId="0" quotePrefix="1" applyFont="1" applyAlignment="1">
      <alignment horizontal="left" vertical="center" wrapText="1"/>
    </xf>
    <xf numFmtId="0" fontId="7" fillId="0" borderId="0" xfId="0" quotePrefix="1" applyFont="1" applyAlignment="1">
      <alignment horizontal="center" vertical="center" wrapText="1"/>
    </xf>
    <xf numFmtId="0" fontId="18" fillId="9" borderId="18" xfId="0" quotePrefix="1" applyFont="1" applyFill="1" applyBorder="1" applyAlignment="1">
      <alignment horizontal="left" vertical="center" wrapText="1"/>
    </xf>
    <xf numFmtId="0" fontId="10" fillId="2" borderId="4" xfId="2" applyFont="1" applyFill="1" applyBorder="1" applyAlignment="1" applyProtection="1">
      <alignment vertical="center"/>
    </xf>
    <xf numFmtId="0" fontId="18" fillId="6" borderId="0" xfId="0" quotePrefix="1" applyFont="1" applyFill="1" applyAlignment="1">
      <alignment horizontal="left" vertical="center" wrapText="1" indent="3"/>
    </xf>
    <xf numFmtId="0" fontId="18" fillId="6" borderId="18" xfId="0" quotePrefix="1" applyFont="1" applyFill="1" applyBorder="1" applyAlignment="1">
      <alignment horizontal="left" vertical="center" wrapText="1" indent="3"/>
    </xf>
    <xf numFmtId="0" fontId="19" fillId="6" borderId="0" xfId="0" applyFont="1" applyFill="1" applyAlignment="1">
      <alignment horizontal="left" vertical="center" wrapText="1"/>
    </xf>
    <xf numFmtId="0" fontId="32" fillId="0" borderId="0" xfId="0" applyFont="1">
      <alignment horizontal="left" wrapText="1"/>
    </xf>
    <xf numFmtId="0" fontId="7" fillId="4" borderId="14" xfId="0" applyFont="1" applyFill="1" applyBorder="1" applyAlignment="1">
      <alignment horizontal="center"/>
    </xf>
    <xf numFmtId="0" fontId="7" fillId="4" borderId="14" xfId="0" applyFont="1" applyFill="1" applyBorder="1" applyAlignment="1">
      <alignment horizontal="center" wrapText="1"/>
    </xf>
    <xf numFmtId="165" fontId="10" fillId="2" borderId="20" xfId="0" quotePrefix="1" applyNumberFormat="1" applyFont="1" applyFill="1" applyBorder="1" applyAlignment="1">
      <alignment vertical="center" wrapText="1"/>
    </xf>
    <xf numFmtId="0" fontId="9" fillId="2" borderId="3" xfId="0" applyFont="1" applyFill="1" applyBorder="1" applyAlignment="1">
      <alignment horizontal="left" vertical="center" wrapText="1" indent="3"/>
    </xf>
    <xf numFmtId="0" fontId="9" fillId="2" borderId="3" xfId="0" applyFont="1" applyFill="1" applyBorder="1" applyAlignment="1">
      <alignment horizontal="left" vertical="center" indent="3"/>
    </xf>
    <xf numFmtId="0" fontId="18" fillId="2" borderId="18" xfId="0" applyFont="1" applyFill="1" applyBorder="1" applyAlignment="1">
      <alignment horizontal="left" vertical="center" wrapText="1"/>
    </xf>
    <xf numFmtId="0" fontId="10" fillId="2" borderId="21" xfId="0" applyFont="1" applyFill="1" applyBorder="1" applyAlignment="1">
      <alignment vertical="center" wrapText="1"/>
    </xf>
    <xf numFmtId="0" fontId="7" fillId="0" borderId="18" xfId="0" applyFont="1" applyBorder="1" applyAlignment="1">
      <alignment wrapText="1"/>
    </xf>
    <xf numFmtId="0" fontId="22" fillId="3" borderId="18" xfId="0" applyFont="1" applyFill="1" applyBorder="1" applyAlignment="1">
      <alignment wrapText="1"/>
    </xf>
    <xf numFmtId="0" fontId="7" fillId="2" borderId="18" xfId="0" applyFont="1" applyFill="1" applyBorder="1" applyAlignment="1">
      <alignment wrapText="1"/>
    </xf>
    <xf numFmtId="0" fontId="10" fillId="0" borderId="18" xfId="0" applyFont="1" applyBorder="1" applyAlignment="1">
      <alignment wrapText="1"/>
    </xf>
    <xf numFmtId="0" fontId="21" fillId="0" borderId="18" xfId="0" applyFont="1" applyBorder="1" applyAlignment="1">
      <alignment wrapText="1"/>
    </xf>
    <xf numFmtId="0" fontId="10" fillId="0" borderId="23" xfId="0" applyFont="1" applyBorder="1" applyAlignment="1">
      <alignment wrapText="1"/>
    </xf>
    <xf numFmtId="0" fontId="7" fillId="0" borderId="19" xfId="2" applyFont="1" applyBorder="1" applyAlignment="1" applyProtection="1">
      <alignment horizontal="left" wrapText="1"/>
    </xf>
    <xf numFmtId="0" fontId="7" fillId="0" borderId="34" xfId="0" applyFont="1" applyBorder="1" applyAlignment="1">
      <alignment wrapText="1"/>
    </xf>
    <xf numFmtId="0" fontId="10" fillId="0" borderId="19" xfId="0" applyFont="1" applyBorder="1">
      <alignment horizontal="left" wrapText="1"/>
    </xf>
    <xf numFmtId="0" fontId="7" fillId="0" borderId="34" xfId="0" applyFont="1" applyBorder="1">
      <alignment horizontal="left" wrapText="1"/>
    </xf>
    <xf numFmtId="0" fontId="7" fillId="0" borderId="19" xfId="0" applyFont="1" applyBorder="1" applyAlignment="1">
      <alignment wrapText="1"/>
    </xf>
    <xf numFmtId="0" fontId="7" fillId="0" borderId="35" xfId="0" applyFont="1" applyBorder="1" applyAlignment="1">
      <alignment wrapText="1"/>
    </xf>
    <xf numFmtId="0" fontId="10" fillId="0" borderId="18" xfId="0" applyFont="1" applyBorder="1">
      <alignment horizontal="left" wrapText="1"/>
    </xf>
    <xf numFmtId="0" fontId="7" fillId="0" borderId="18" xfId="0" applyFont="1" applyBorder="1" applyAlignment="1">
      <alignment horizontal="right" wrapText="1"/>
    </xf>
    <xf numFmtId="0" fontId="10" fillId="0" borderId="22" xfId="0" applyFont="1" applyBorder="1" applyAlignment="1">
      <alignment wrapText="1"/>
    </xf>
    <xf numFmtId="0" fontId="7" fillId="0" borderId="36" xfId="0" applyFont="1" applyBorder="1" applyAlignment="1">
      <alignment wrapText="1"/>
    </xf>
    <xf numFmtId="0" fontId="10" fillId="0" borderId="27" xfId="0" applyFont="1" applyBorder="1" applyAlignment="1">
      <alignment wrapText="1"/>
    </xf>
    <xf numFmtId="0" fontId="7" fillId="0" borderId="27" xfId="0" applyFont="1" applyBorder="1" applyAlignment="1">
      <alignment wrapText="1"/>
    </xf>
    <xf numFmtId="0" fontId="7" fillId="2" borderId="18" xfId="0" applyFont="1" applyFill="1" applyBorder="1">
      <alignment horizontal="left" wrapText="1"/>
    </xf>
    <xf numFmtId="0" fontId="21" fillId="2" borderId="26" xfId="0" applyFont="1" applyFill="1" applyBorder="1" applyAlignment="1">
      <alignment vertical="center" wrapText="1"/>
    </xf>
    <xf numFmtId="0" fontId="21" fillId="0" borderId="18" xfId="0" applyFont="1" applyBorder="1" applyAlignment="1">
      <alignment vertical="center" wrapText="1"/>
    </xf>
    <xf numFmtId="0" fontId="21" fillId="3" borderId="18" xfId="0" applyFont="1" applyFill="1" applyBorder="1" applyAlignment="1">
      <alignment vertical="center" wrapText="1"/>
    </xf>
    <xf numFmtId="0" fontId="21" fillId="2" borderId="18" xfId="0" applyFont="1" applyFill="1" applyBorder="1" applyAlignment="1">
      <alignment vertical="center" wrapText="1"/>
    </xf>
    <xf numFmtId="0" fontId="21" fillId="0" borderId="18" xfId="2" applyFont="1" applyFill="1" applyBorder="1" applyAlignment="1" applyProtection="1">
      <alignment vertical="center" wrapText="1"/>
    </xf>
    <xf numFmtId="0" fontId="15" fillId="0" borderId="18" xfId="0" applyFont="1" applyBorder="1" applyAlignment="1">
      <alignment horizontal="center" wrapText="1"/>
    </xf>
    <xf numFmtId="0" fontId="10" fillId="0" borderId="18" xfId="0" applyFont="1" applyBorder="1" applyAlignment="1">
      <alignment horizontal="center" wrapText="1"/>
    </xf>
    <xf numFmtId="0" fontId="7" fillId="0" borderId="18" xfId="0" applyFont="1" applyBorder="1" applyAlignment="1">
      <alignment horizontal="center" wrapText="1"/>
    </xf>
    <xf numFmtId="0" fontId="7" fillId="0" borderId="18" xfId="0" applyFont="1" applyBorder="1" applyAlignment="1">
      <alignment horizontal="center" vertical="center" wrapText="1"/>
    </xf>
    <xf numFmtId="0" fontId="10" fillId="7" borderId="20" xfId="0" applyFont="1" applyFill="1" applyBorder="1" applyAlignment="1" applyProtection="1">
      <alignment vertical="top" wrapText="1"/>
      <protection hidden="1"/>
    </xf>
    <xf numFmtId="0" fontId="10" fillId="0" borderId="20" xfId="0" quotePrefix="1" applyFont="1" applyBorder="1" applyAlignment="1" applyProtection="1">
      <alignment vertical="top" wrapText="1"/>
      <protection hidden="1"/>
    </xf>
    <xf numFmtId="10" fontId="10" fillId="0" borderId="18" xfId="2" applyNumberFormat="1" applyFont="1" applyFill="1" applyBorder="1" applyAlignment="1" applyProtection="1">
      <alignment horizontal="left" vertical="center" wrapText="1"/>
    </xf>
    <xf numFmtId="0" fontId="21" fillId="8" borderId="18" xfId="2" applyFont="1" applyFill="1" applyBorder="1" applyAlignment="1" applyProtection="1">
      <alignment vertical="center" wrapText="1"/>
    </xf>
    <xf numFmtId="0" fontId="7" fillId="8" borderId="18" xfId="0" quotePrefix="1" applyFont="1" applyFill="1" applyBorder="1" applyAlignment="1">
      <alignment horizontal="left" vertical="center" wrapText="1"/>
    </xf>
    <xf numFmtId="10" fontId="10" fillId="8" borderId="18" xfId="2" quotePrefix="1" applyNumberFormat="1" applyFont="1" applyFill="1" applyBorder="1" applyAlignment="1" applyProtection="1">
      <alignment horizontal="left" vertical="center" wrapText="1"/>
    </xf>
    <xf numFmtId="0" fontId="7" fillId="6" borderId="0" xfId="0" quotePrefix="1" applyFont="1" applyFill="1" applyAlignment="1">
      <alignment horizontal="left" vertical="center" wrapText="1"/>
    </xf>
    <xf numFmtId="0" fontId="21" fillId="6" borderId="0" xfId="0" applyFont="1" applyFill="1" applyAlignment="1">
      <alignment horizontal="left" vertical="center" wrapText="1"/>
    </xf>
    <xf numFmtId="0" fontId="10" fillId="2" borderId="27" xfId="0" quotePrefix="1" applyFont="1" applyFill="1" applyBorder="1" applyAlignment="1">
      <alignment horizontal="center" vertical="center" wrapText="1"/>
    </xf>
    <xf numFmtId="0" fontId="10" fillId="2" borderId="13" xfId="0" quotePrefix="1" applyFont="1" applyFill="1" applyBorder="1" applyAlignment="1">
      <alignment horizontal="center" vertical="center" wrapText="1"/>
    </xf>
    <xf numFmtId="0" fontId="10" fillId="2" borderId="0" xfId="0" quotePrefix="1" applyFont="1" applyFill="1" applyAlignment="1">
      <alignment horizontal="center" vertical="center" wrapText="1"/>
    </xf>
    <xf numFmtId="0" fontId="10" fillId="2" borderId="0" xfId="0" quotePrefix="1" applyFont="1" applyFill="1" applyAlignment="1">
      <alignment horizontal="center" wrapText="1"/>
    </xf>
    <xf numFmtId="0" fontId="7" fillId="2" borderId="18" xfId="0" quotePrefix="1" applyFont="1" applyFill="1" applyBorder="1" applyAlignment="1">
      <alignment wrapText="1"/>
    </xf>
    <xf numFmtId="0" fontId="10" fillId="2" borderId="0" xfId="0" applyFont="1" applyFill="1" applyAlignment="1">
      <alignment vertical="center" wrapText="1"/>
    </xf>
    <xf numFmtId="0" fontId="7" fillId="9" borderId="0" xfId="0" applyFont="1" applyFill="1" applyAlignment="1">
      <alignment horizontal="left" vertical="center" wrapText="1"/>
    </xf>
    <xf numFmtId="0" fontId="10" fillId="0" borderId="19" xfId="2" applyFont="1" applyFill="1" applyBorder="1" applyAlignment="1" applyProtection="1">
      <alignment horizontal="left" wrapText="1"/>
    </xf>
    <xf numFmtId="0" fontId="21" fillId="0" borderId="0" xfId="0" applyFont="1" applyAlignment="1">
      <alignment vertical="center" wrapText="1"/>
    </xf>
    <xf numFmtId="0" fontId="7" fillId="9" borderId="0" xfId="0" quotePrefix="1" applyFont="1" applyFill="1" applyAlignment="1">
      <alignment horizontal="left" vertical="center" wrapText="1"/>
    </xf>
    <xf numFmtId="0" fontId="7" fillId="0" borderId="21" xfId="0" applyFont="1" applyBorder="1" applyAlignment="1">
      <alignment horizontal="left" vertical="center" wrapText="1"/>
    </xf>
    <xf numFmtId="49" fontId="7" fillId="0" borderId="0" xfId="0" applyNumberFormat="1" applyFont="1" applyAlignment="1">
      <alignment horizontal="left" vertical="center" wrapText="1"/>
    </xf>
    <xf numFmtId="165" fontId="7" fillId="0" borderId="0" xfId="0" quotePrefix="1" applyNumberFormat="1" applyFont="1" applyAlignment="1">
      <alignment horizontal="left" vertical="center" wrapText="1"/>
    </xf>
    <xf numFmtId="0" fontId="21" fillId="0" borderId="18" xfId="0" quotePrefix="1" applyFont="1" applyBorder="1" applyAlignment="1"/>
    <xf numFmtId="0" fontId="21" fillId="0" borderId="0" xfId="0" quotePrefix="1" applyFont="1" applyAlignment="1"/>
    <xf numFmtId="0" fontId="21" fillId="0" borderId="18" xfId="0" quotePrefix="1" applyFont="1" applyBorder="1" applyAlignment="1">
      <alignment wrapText="1"/>
    </xf>
    <xf numFmtId="0" fontId="10" fillId="4" borderId="47" xfId="0" applyFont="1" applyFill="1" applyBorder="1" applyAlignment="1">
      <alignment horizontal="center"/>
    </xf>
    <xf numFmtId="0" fontId="0" fillId="4" borderId="3" xfId="0" applyFill="1" applyBorder="1" applyAlignment="1">
      <alignment horizontal="center"/>
    </xf>
    <xf numFmtId="0" fontId="0" fillId="4" borderId="45" xfId="0" applyFill="1" applyBorder="1" applyAlignment="1">
      <alignment horizontal="center"/>
    </xf>
    <xf numFmtId="0" fontId="10" fillId="4" borderId="48" xfId="0" applyFont="1" applyFill="1" applyBorder="1" applyAlignment="1">
      <alignment horizontal="center"/>
    </xf>
    <xf numFmtId="0" fontId="0" fillId="4" borderId="49" xfId="0" applyFill="1" applyBorder="1" applyAlignment="1">
      <alignment horizontal="center"/>
    </xf>
    <xf numFmtId="0" fontId="7" fillId="0" borderId="21" xfId="0" applyFont="1" applyBorder="1" applyAlignment="1">
      <alignment horizontal="center"/>
    </xf>
    <xf numFmtId="0" fontId="10" fillId="2" borderId="14" xfId="0" applyFont="1" applyFill="1" applyBorder="1" applyAlignment="1" applyProtection="1">
      <alignment horizontal="center" vertical="center" wrapText="1"/>
      <protection locked="0"/>
    </xf>
    <xf numFmtId="165" fontId="0" fillId="0" borderId="0" xfId="0" applyNumberFormat="1" applyAlignment="1">
      <alignment horizontal="left" vertical="center" wrapText="1"/>
    </xf>
    <xf numFmtId="0" fontId="13" fillId="0" borderId="14" xfId="0" applyFont="1" applyBorder="1" applyAlignment="1">
      <alignment horizontal="left" vertical="center" wrapText="1"/>
    </xf>
    <xf numFmtId="0" fontId="23" fillId="0" borderId="14" xfId="0" applyFont="1" applyBorder="1" applyAlignment="1">
      <alignment horizontal="left" vertical="center"/>
    </xf>
    <xf numFmtId="0" fontId="10" fillId="0" borderId="14" xfId="0" applyFont="1" applyBorder="1" applyAlignment="1" applyProtection="1">
      <alignment vertical="top" wrapText="1"/>
      <protection hidden="1"/>
    </xf>
    <xf numFmtId="0" fontId="10" fillId="0" borderId="14" xfId="0" applyFont="1" applyBorder="1" applyAlignment="1" applyProtection="1">
      <alignment horizontal="left" vertical="top" wrapText="1"/>
      <protection hidden="1"/>
    </xf>
    <xf numFmtId="0" fontId="0" fillId="0" borderId="0" xfId="0" applyAlignment="1">
      <alignment horizontal="left" vertical="center" wrapText="1"/>
    </xf>
    <xf numFmtId="0" fontId="11" fillId="11" borderId="0" xfId="3" applyFill="1" applyAlignment="1">
      <alignment vertical="center"/>
    </xf>
    <xf numFmtId="0" fontId="11" fillId="11" borderId="0" xfId="3" applyFill="1" applyAlignment="1"/>
    <xf numFmtId="0" fontId="11" fillId="0" borderId="0" xfId="3" applyAlignment="1"/>
    <xf numFmtId="0" fontId="39" fillId="11" borderId="0" xfId="3" applyFont="1" applyFill="1" applyAlignment="1">
      <alignment vertical="center"/>
    </xf>
    <xf numFmtId="0" fontId="33" fillId="11" borderId="0" xfId="3" applyFont="1" applyFill="1" applyAlignment="1">
      <alignment horizontal="right"/>
    </xf>
    <xf numFmtId="0" fontId="40" fillId="11" borderId="0" xfId="3" applyFont="1" applyFill="1" applyAlignment="1">
      <alignment vertical="center"/>
    </xf>
    <xf numFmtId="0" fontId="41" fillId="11" borderId="0" xfId="3" applyFont="1" applyFill="1" applyAlignment="1">
      <alignment horizontal="right" vertical="center"/>
    </xf>
    <xf numFmtId="14" fontId="33" fillId="0" borderId="0" xfId="3" applyNumberFormat="1" applyFont="1" applyAlignment="1">
      <alignment horizontal="right"/>
    </xf>
    <xf numFmtId="0" fontId="41" fillId="0" borderId="0" xfId="3" applyFont="1" applyAlignment="1">
      <alignment horizontal="right" vertical="center"/>
    </xf>
    <xf numFmtId="0" fontId="34" fillId="11" borderId="0" xfId="3" applyFont="1" applyFill="1" applyAlignment="1">
      <alignment horizontal="right"/>
    </xf>
    <xf numFmtId="0" fontId="42" fillId="11" borderId="0" xfId="3" applyFont="1" applyFill="1" applyAlignment="1">
      <alignment horizontal="right" vertical="center"/>
    </xf>
    <xf numFmtId="0" fontId="43" fillId="11" borderId="0" xfId="3" applyFont="1" applyFill="1" applyAlignment="1">
      <alignment vertical="center"/>
    </xf>
    <xf numFmtId="0" fontId="44" fillId="11" borderId="0" xfId="3" applyFont="1" applyFill="1" applyAlignment="1">
      <alignment vertical="center"/>
    </xf>
    <xf numFmtId="0" fontId="7" fillId="12" borderId="0" xfId="0" applyFont="1" applyFill="1" applyAlignment="1">
      <alignment horizontal="left" vertical="center" wrapText="1"/>
    </xf>
    <xf numFmtId="0" fontId="0" fillId="12" borderId="0" xfId="0" applyFill="1" applyAlignment="1">
      <alignment horizontal="center"/>
    </xf>
    <xf numFmtId="0" fontId="7" fillId="12" borderId="18" xfId="0" applyFont="1" applyFill="1" applyBorder="1" applyAlignment="1">
      <alignment horizontal="center"/>
    </xf>
    <xf numFmtId="0" fontId="0" fillId="12" borderId="0" xfId="0" applyFill="1" applyAlignment="1">
      <alignment horizontal="left" vertical="center" wrapText="1"/>
    </xf>
    <xf numFmtId="0" fontId="35" fillId="0" borderId="0" xfId="0" applyFont="1" applyAlignment="1">
      <alignment horizontal="left" vertical="center" wrapText="1"/>
    </xf>
    <xf numFmtId="0" fontId="10" fillId="12" borderId="0" xfId="0" applyFont="1" applyFill="1" applyAlignment="1">
      <alignment horizontal="left" vertical="center" wrapText="1"/>
    </xf>
    <xf numFmtId="0" fontId="0" fillId="0" borderId="18" xfId="0" applyBorder="1" applyAlignment="1">
      <alignment horizontal="center"/>
    </xf>
    <xf numFmtId="0" fontId="0" fillId="0" borderId="18" xfId="0" applyBorder="1" applyAlignment="1">
      <alignment horizontal="center" wrapText="1"/>
    </xf>
    <xf numFmtId="0" fontId="0" fillId="2" borderId="18" xfId="0" applyFill="1" applyBorder="1" applyAlignment="1"/>
    <xf numFmtId="0" fontId="10" fillId="2" borderId="4" xfId="0" quotePrefix="1" applyFont="1" applyFill="1" applyBorder="1" applyAlignment="1">
      <alignment vertical="center"/>
    </xf>
    <xf numFmtId="0" fontId="0" fillId="0" borderId="19" xfId="0" applyBorder="1" applyAlignment="1"/>
    <xf numFmtId="0" fontId="0" fillId="0" borderId="19" xfId="0" applyBorder="1" applyAlignment="1">
      <alignment wrapText="1"/>
    </xf>
    <xf numFmtId="0" fontId="45" fillId="0" borderId="0" xfId="0" applyFont="1" applyAlignment="1"/>
    <xf numFmtId="0" fontId="0" fillId="0" borderId="0" xfId="0">
      <alignment horizontal="left" wrapText="1"/>
    </xf>
    <xf numFmtId="0" fontId="10" fillId="0" borderId="7" xfId="2" applyFont="1" applyBorder="1" applyAlignment="1" applyProtection="1"/>
    <xf numFmtId="0" fontId="0" fillId="8" borderId="0" xfId="0" applyFill="1" applyAlignment="1">
      <alignment horizontal="left" vertical="center" wrapText="1"/>
    </xf>
    <xf numFmtId="0" fontId="0" fillId="0" borderId="18" xfId="0" quotePrefix="1" applyBorder="1" applyAlignment="1">
      <alignment horizontal="left" vertical="center" wrapText="1"/>
    </xf>
    <xf numFmtId="0" fontId="0" fillId="0" borderId="18" xfId="0" applyBorder="1" applyAlignment="1">
      <alignment horizontal="left" vertical="center" wrapText="1"/>
    </xf>
    <xf numFmtId="0" fontId="7" fillId="0" borderId="0" xfId="0" applyFont="1" applyAlignment="1">
      <alignment vertical="top" wrapText="1"/>
    </xf>
    <xf numFmtId="0" fontId="7" fillId="0" borderId="0" xfId="0" applyFont="1" applyAlignment="1">
      <alignment horizontal="center" vertical="center"/>
    </xf>
    <xf numFmtId="0" fontId="7" fillId="0" borderId="0" xfId="0" quotePrefix="1" applyFont="1" applyAlignment="1">
      <alignment vertical="top" wrapText="1"/>
    </xf>
    <xf numFmtId="0" fontId="7" fillId="0" borderId="0" xfId="0" applyFont="1" applyAlignment="1">
      <alignment horizontal="right"/>
    </xf>
    <xf numFmtId="0" fontId="7" fillId="4" borderId="41" xfId="0" applyFont="1" applyFill="1" applyBorder="1" applyAlignment="1">
      <alignment horizontal="center"/>
    </xf>
    <xf numFmtId="0" fontId="7" fillId="4" borderId="49" xfId="0" applyFont="1" applyFill="1" applyBorder="1" applyAlignment="1">
      <alignment horizontal="center"/>
    </xf>
    <xf numFmtId="0" fontId="7" fillId="0" borderId="0" xfId="0" applyFont="1" applyAlignment="1">
      <alignment horizontal="left"/>
    </xf>
    <xf numFmtId="0" fontId="7" fillId="0" borderId="11" xfId="0" applyFont="1" applyBorder="1" applyAlignment="1">
      <alignment horizontal="center"/>
    </xf>
    <xf numFmtId="0" fontId="7" fillId="4" borderId="28" xfId="0" applyFont="1" applyFill="1" applyBorder="1" applyAlignment="1">
      <alignment horizontal="center"/>
    </xf>
    <xf numFmtId="0" fontId="7" fillId="12" borderId="0" xfId="0" applyFont="1" applyFill="1" applyAlignment="1">
      <alignment horizontal="center"/>
    </xf>
    <xf numFmtId="0" fontId="7" fillId="2" borderId="20" xfId="2" applyFont="1" applyFill="1" applyBorder="1" applyAlignment="1" applyProtection="1">
      <alignment horizontal="left" vertical="center" wrapText="1" indent="2"/>
    </xf>
    <xf numFmtId="0" fontId="7" fillId="2" borderId="14" xfId="2" applyFont="1" applyFill="1" applyBorder="1" applyAlignment="1" applyProtection="1">
      <alignment horizontal="left" vertical="center" wrapText="1" indent="2"/>
    </xf>
    <xf numFmtId="0" fontId="7" fillId="2" borderId="20" xfId="2" applyFont="1" applyFill="1" applyBorder="1" applyAlignment="1" applyProtection="1">
      <alignment horizontal="left" vertical="center" wrapText="1"/>
    </xf>
    <xf numFmtId="0" fontId="7" fillId="2" borderId="0" xfId="0" applyFont="1" applyFill="1" applyAlignment="1"/>
    <xf numFmtId="0" fontId="7" fillId="2" borderId="0" xfId="0" quotePrefix="1" applyFont="1" applyFill="1" applyAlignment="1"/>
    <xf numFmtId="0" fontId="10" fillId="2" borderId="18" xfId="0" applyFont="1" applyFill="1" applyBorder="1" applyAlignment="1">
      <alignment horizontal="left" vertical="center"/>
    </xf>
    <xf numFmtId="0" fontId="7" fillId="0" borderId="0" xfId="0" quotePrefix="1" applyFont="1" applyAlignment="1">
      <alignment wrapText="1"/>
    </xf>
    <xf numFmtId="0" fontId="7" fillId="0" borderId="18" xfId="0" quotePrefix="1" applyFont="1" applyBorder="1" applyAlignment="1">
      <alignment vertical="center" wrapText="1"/>
    </xf>
    <xf numFmtId="0" fontId="7" fillId="0" borderId="0" xfId="0" quotePrefix="1" applyFont="1" applyAlignment="1">
      <alignment vertical="center" wrapText="1"/>
    </xf>
    <xf numFmtId="0" fontId="7" fillId="0" borderId="17" xfId="0" applyFont="1" applyBorder="1" applyAlignment="1">
      <alignment horizontal="left"/>
    </xf>
    <xf numFmtId="0" fontId="7" fillId="0" borderId="17" xfId="2" applyFont="1" applyBorder="1" applyAlignment="1" applyProtection="1">
      <alignment horizontal="left"/>
    </xf>
    <xf numFmtId="0" fontId="7" fillId="0" borderId="15" xfId="0" applyFont="1" applyBorder="1" applyAlignment="1"/>
    <xf numFmtId="0" fontId="7" fillId="0" borderId="15" xfId="0" applyFont="1" applyBorder="1" applyAlignment="1">
      <alignment horizontal="left"/>
    </xf>
    <xf numFmtId="0" fontId="10" fillId="0" borderId="27" xfId="2" applyFont="1" applyBorder="1" applyAlignment="1" applyProtection="1"/>
    <xf numFmtId="0" fontId="10" fillId="0" borderId="27" xfId="2" applyFont="1" applyBorder="1" applyAlignment="1" applyProtection="1">
      <alignment wrapText="1"/>
    </xf>
    <xf numFmtId="0" fontId="7" fillId="0" borderId="40" xfId="0" applyFont="1" applyBorder="1" applyAlignment="1"/>
    <xf numFmtId="0" fontId="7" fillId="0" borderId="18" xfId="0" applyFont="1" applyBorder="1" applyAlignment="1">
      <alignment vertical="top" wrapText="1"/>
    </xf>
    <xf numFmtId="0" fontId="7" fillId="0" borderId="5" xfId="0" applyFont="1" applyBorder="1">
      <alignment horizontal="left" wrapText="1"/>
    </xf>
    <xf numFmtId="0" fontId="7" fillId="0" borderId="4" xfId="0" applyFont="1" applyBorder="1">
      <alignment horizontal="left" wrapText="1"/>
    </xf>
    <xf numFmtId="0" fontId="7" fillId="0" borderId="18" xfId="2" applyFont="1" applyBorder="1" applyAlignment="1" applyProtection="1">
      <alignment horizontal="left" wrapText="1"/>
    </xf>
    <xf numFmtId="0" fontId="7" fillId="0" borderId="18" xfId="2" applyFont="1" applyBorder="1" applyAlignment="1" applyProtection="1">
      <alignment horizontal="left" vertical="center" wrapText="1"/>
    </xf>
    <xf numFmtId="10" fontId="7" fillId="0" borderId="18" xfId="2" applyNumberFormat="1" applyFont="1" applyBorder="1" applyAlignment="1" applyProtection="1">
      <alignment horizontal="left" vertical="center" wrapText="1"/>
    </xf>
    <xf numFmtId="10" fontId="7" fillId="0" borderId="0" xfId="2" applyNumberFormat="1" applyFont="1" applyBorder="1" applyAlignment="1" applyProtection="1">
      <alignment horizontal="left" vertical="center" wrapText="1"/>
    </xf>
    <xf numFmtId="0" fontId="7" fillId="0" borderId="5" xfId="2" applyFont="1" applyBorder="1" applyAlignment="1" applyProtection="1">
      <alignment horizontal="left" wrapText="1"/>
    </xf>
    <xf numFmtId="0" fontId="7" fillId="0" borderId="22" xfId="2" applyFont="1" applyBorder="1" applyAlignment="1" applyProtection="1">
      <alignment horizontal="left" wrapText="1"/>
    </xf>
    <xf numFmtId="0" fontId="7" fillId="0" borderId="11" xfId="0" applyFont="1" applyBorder="1">
      <alignment horizontal="left" wrapText="1"/>
    </xf>
    <xf numFmtId="0" fontId="7" fillId="0" borderId="22" xfId="0" applyFont="1" applyBorder="1" applyAlignment="1"/>
    <xf numFmtId="0" fontId="7" fillId="0" borderId="11" xfId="0" applyFont="1" applyBorder="1" applyAlignment="1"/>
    <xf numFmtId="0" fontId="7" fillId="0" borderId="46" xfId="0" applyFont="1" applyBorder="1" applyAlignment="1"/>
    <xf numFmtId="0" fontId="7" fillId="0" borderId="18" xfId="0" applyFont="1" applyBorder="1" applyAlignment="1">
      <alignment vertical="center" wrapText="1"/>
    </xf>
    <xf numFmtId="0" fontId="7" fillId="0" borderId="14" xfId="0" quotePrefix="1" applyFont="1" applyBorder="1" applyAlignment="1">
      <alignment vertical="top" wrapText="1"/>
    </xf>
    <xf numFmtId="0" fontId="7" fillId="0" borderId="0" xfId="0" applyFont="1" applyAlignment="1">
      <alignment horizontal="left" indent="1"/>
    </xf>
    <xf numFmtId="0" fontId="7" fillId="0" borderId="0" xfId="0" applyFont="1" applyAlignment="1">
      <alignment horizontal="right" indent="1"/>
    </xf>
    <xf numFmtId="0" fontId="10" fillId="0" borderId="18" xfId="2" applyFont="1" applyBorder="1" applyAlignment="1" applyProtection="1">
      <alignment horizontal="left" wrapText="1"/>
    </xf>
    <xf numFmtId="0" fontId="7" fillId="0" borderId="10" xfId="0" applyFont="1" applyBorder="1" applyAlignment="1">
      <alignment horizontal="left" vertical="center" wrapText="1"/>
    </xf>
    <xf numFmtId="0" fontId="10" fillId="0" borderId="22" xfId="2" applyFont="1" applyBorder="1" applyAlignment="1" applyProtection="1">
      <alignment horizontal="left" wrapText="1"/>
    </xf>
    <xf numFmtId="165" fontId="7" fillId="2" borderId="20" xfId="0" applyNumberFormat="1" applyFont="1" applyFill="1" applyBorder="1" applyAlignment="1">
      <alignment vertical="center" wrapText="1"/>
    </xf>
    <xf numFmtId="165" fontId="7" fillId="2" borderId="14" xfId="0" applyNumberFormat="1" applyFont="1" applyFill="1" applyBorder="1" applyAlignment="1">
      <alignment vertical="center" wrapText="1"/>
    </xf>
    <xf numFmtId="0" fontId="7" fillId="2" borderId="18" xfId="0" applyFont="1" applyFill="1" applyBorder="1" applyAlignment="1">
      <alignment vertical="center"/>
    </xf>
    <xf numFmtId="0" fontId="7" fillId="2" borderId="4" xfId="0" applyFont="1" applyFill="1" applyBorder="1" applyAlignment="1">
      <alignment vertical="center"/>
    </xf>
    <xf numFmtId="0" fontId="7" fillId="2" borderId="18" xfId="0" applyFont="1" applyFill="1" applyBorder="1" applyAlignment="1">
      <alignment vertical="center" wrapText="1"/>
    </xf>
    <xf numFmtId="0" fontId="7" fillId="0" borderId="0" xfId="0" quotePrefix="1" applyFont="1" applyAlignment="1"/>
    <xf numFmtId="0" fontId="7" fillId="0" borderId="18" xfId="0" quotePrefix="1" applyFont="1" applyBorder="1" applyAlignment="1">
      <alignment vertical="center"/>
    </xf>
    <xf numFmtId="0" fontId="7" fillId="0" borderId="0" xfId="0" quotePrefix="1" applyFont="1" applyAlignment="1">
      <alignment vertical="center"/>
    </xf>
    <xf numFmtId="0" fontId="7" fillId="2" borderId="26" xfId="0" applyFont="1" applyFill="1" applyBorder="1" applyAlignment="1">
      <alignment vertical="center"/>
    </xf>
    <xf numFmtId="0" fontId="7" fillId="2" borderId="6" xfId="0" applyFont="1" applyFill="1" applyBorder="1" applyAlignment="1">
      <alignment vertical="center"/>
    </xf>
    <xf numFmtId="0" fontId="7" fillId="2" borderId="26" xfId="0" applyFont="1" applyFill="1" applyBorder="1" applyAlignment="1">
      <alignment vertical="center" wrapText="1"/>
    </xf>
    <xf numFmtId="0" fontId="7" fillId="0" borderId="20" xfId="0" applyFont="1" applyBorder="1" applyAlignment="1" applyProtection="1">
      <alignment vertical="top" wrapText="1"/>
      <protection hidden="1"/>
    </xf>
    <xf numFmtId="0" fontId="7" fillId="0" borderId="0" xfId="0" applyFont="1" applyAlignment="1" applyProtection="1">
      <alignment wrapText="1"/>
      <protection locked="0"/>
    </xf>
    <xf numFmtId="0" fontId="7" fillId="0" borderId="20" xfId="0" applyFont="1" applyBorder="1" applyAlignment="1" applyProtection="1">
      <alignment horizontal="left" vertical="center" wrapText="1" indent="2"/>
      <protection hidden="1"/>
    </xf>
    <xf numFmtId="0" fontId="7" fillId="0" borderId="14" xfId="0" applyFont="1" applyBorder="1" applyAlignment="1" applyProtection="1">
      <alignment horizontal="left" vertical="center" wrapText="1" indent="2"/>
      <protection hidden="1"/>
    </xf>
    <xf numFmtId="0" fontId="7" fillId="0" borderId="20" xfId="0" applyFont="1" applyBorder="1" applyAlignment="1" applyProtection="1">
      <alignment horizontal="left" vertical="center" wrapText="1"/>
      <protection hidden="1"/>
    </xf>
    <xf numFmtId="0" fontId="7" fillId="0" borderId="20" xfId="0" applyFont="1" applyBorder="1" applyAlignment="1" applyProtection="1">
      <alignment horizontal="left" vertical="center" wrapText="1" indent="4"/>
      <protection hidden="1"/>
    </xf>
    <xf numFmtId="0" fontId="7" fillId="0" borderId="14" xfId="0" applyFont="1" applyBorder="1" applyAlignment="1" applyProtection="1">
      <alignment horizontal="left" vertical="center" wrapText="1" indent="4"/>
      <protection hidden="1"/>
    </xf>
    <xf numFmtId="0" fontId="7" fillId="0" borderId="14" xfId="0" applyFont="1" applyBorder="1" applyAlignment="1">
      <alignment vertical="top" wrapText="1"/>
    </xf>
    <xf numFmtId="0" fontId="7" fillId="0" borderId="14" xfId="0" quotePrefix="1" applyFont="1" applyBorder="1" applyAlignment="1">
      <alignment horizontal="center" vertical="top" wrapText="1"/>
    </xf>
    <xf numFmtId="0" fontId="7" fillId="0" borderId="14" xfId="0" applyFont="1" applyBorder="1" applyAlignment="1" applyProtection="1">
      <alignment vertical="top" wrapText="1"/>
      <protection hidden="1"/>
    </xf>
    <xf numFmtId="0" fontId="7" fillId="7" borderId="28" xfId="0" applyFont="1" applyFill="1" applyBorder="1" applyAlignment="1" applyProtection="1">
      <alignment vertical="top" wrapText="1"/>
      <protection hidden="1"/>
    </xf>
    <xf numFmtId="0" fontId="7" fillId="0" borderId="20" xfId="0" quotePrefix="1" applyFont="1" applyBorder="1" applyAlignment="1" applyProtection="1">
      <alignment vertical="top" wrapText="1"/>
      <protection hidden="1"/>
    </xf>
    <xf numFmtId="0" fontId="7" fillId="6" borderId="20" xfId="0" quotePrefix="1" applyFont="1" applyFill="1" applyBorder="1" applyAlignment="1" applyProtection="1">
      <alignment vertical="top" wrapText="1"/>
      <protection hidden="1"/>
    </xf>
    <xf numFmtId="0" fontId="7" fillId="6" borderId="14" xfId="0" applyFont="1" applyFill="1" applyBorder="1" applyAlignment="1">
      <alignment vertical="top" wrapText="1"/>
    </xf>
    <xf numFmtId="0" fontId="7" fillId="0" borderId="14" xfId="0" applyFont="1" applyBorder="1" applyAlignment="1">
      <alignment horizontal="left" vertical="center" wrapText="1"/>
    </xf>
    <xf numFmtId="0" fontId="7" fillId="0" borderId="20" xfId="0" applyFont="1" applyBorder="1" applyAlignment="1" applyProtection="1">
      <alignment horizontal="left" vertical="top" wrapText="1" indent="2"/>
      <protection hidden="1"/>
    </xf>
    <xf numFmtId="0" fontId="7" fillId="0" borderId="14" xfId="0" applyFont="1" applyBorder="1" applyAlignment="1" applyProtection="1">
      <alignment horizontal="left" vertical="top" wrapText="1" indent="2"/>
      <protection hidden="1"/>
    </xf>
    <xf numFmtId="0" fontId="7" fillId="0" borderId="20" xfId="0" applyFont="1" applyBorder="1" applyAlignment="1" applyProtection="1">
      <alignment horizontal="left" vertical="top" wrapText="1"/>
      <protection hidden="1"/>
    </xf>
    <xf numFmtId="0" fontId="7" fillId="6" borderId="18" xfId="0" quotePrefix="1" applyFont="1" applyFill="1" applyBorder="1" applyAlignment="1">
      <alignment vertical="center" wrapText="1"/>
    </xf>
    <xf numFmtId="0" fontId="7" fillId="0" borderId="24" xfId="0" applyFont="1" applyBorder="1" applyAlignment="1">
      <alignment horizontal="left" vertical="center" wrapText="1"/>
    </xf>
    <xf numFmtId="0" fontId="7" fillId="12" borderId="31" xfId="0" applyFont="1" applyFill="1" applyBorder="1" applyAlignment="1">
      <alignment horizontal="center"/>
    </xf>
    <xf numFmtId="0" fontId="7" fillId="12" borderId="18" xfId="0" applyFont="1" applyFill="1" applyBorder="1" applyAlignment="1">
      <alignment horizontal="center" wrapText="1"/>
    </xf>
    <xf numFmtId="0" fontId="7" fillId="0" borderId="10" xfId="0" applyFont="1" applyBorder="1" applyAlignment="1">
      <alignment horizontal="center"/>
    </xf>
    <xf numFmtId="0" fontId="7" fillId="0" borderId="21" xfId="0" applyFont="1" applyBorder="1" applyAlignment="1">
      <alignment horizontal="center" wrapText="1"/>
    </xf>
    <xf numFmtId="0" fontId="7" fillId="0" borderId="22" xfId="0" applyFont="1" applyBorder="1" applyAlignment="1">
      <alignment horizontal="center"/>
    </xf>
    <xf numFmtId="0" fontId="7" fillId="0" borderId="22" xfId="0" applyFont="1" applyBorder="1" applyAlignment="1">
      <alignment horizontal="center" wrapText="1"/>
    </xf>
    <xf numFmtId="0" fontId="7" fillId="0" borderId="0" xfId="0" applyFont="1" applyAlignment="1">
      <alignment horizontal="center" wrapText="1"/>
    </xf>
    <xf numFmtId="49" fontId="7" fillId="0" borderId="50"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0" fontId="7" fillId="0" borderId="0" xfId="0" applyFont="1" applyAlignment="1">
      <alignment horizontal="left" vertical="center"/>
    </xf>
    <xf numFmtId="0" fontId="7" fillId="0" borderId="16" xfId="0" applyFont="1" applyBorder="1" applyAlignment="1">
      <alignment horizontal="left" vertical="center" wrapText="1"/>
    </xf>
    <xf numFmtId="0" fontId="7" fillId="8" borderId="0" xfId="0" applyFont="1" applyFill="1" applyAlignment="1">
      <alignment horizontal="left" vertical="center" wrapText="1"/>
    </xf>
    <xf numFmtId="0" fontId="48" fillId="0" borderId="0" xfId="4" applyFont="1" applyAlignment="1">
      <alignment horizontal="left" vertical="center"/>
    </xf>
    <xf numFmtId="0" fontId="6" fillId="0" borderId="0" xfId="4" applyAlignment="1">
      <alignment horizontal="center" vertical="center" wrapText="1"/>
    </xf>
    <xf numFmtId="0" fontId="49" fillId="0" borderId="0" xfId="4" applyFont="1" applyAlignment="1">
      <alignment horizontal="center" vertical="center"/>
    </xf>
    <xf numFmtId="0" fontId="6" fillId="0" borderId="0" xfId="4"/>
    <xf numFmtId="0" fontId="6" fillId="0" borderId="54" xfId="4" applyBorder="1" applyAlignment="1">
      <alignment horizontal="center" vertical="center" wrapText="1"/>
    </xf>
    <xf numFmtId="0" fontId="50" fillId="0" borderId="0" xfId="4" applyFont="1" applyAlignment="1">
      <alignment vertical="center" wrapText="1"/>
    </xf>
    <xf numFmtId="0" fontId="51" fillId="14" borderId="48" xfId="4" applyFont="1" applyFill="1" applyBorder="1" applyAlignment="1">
      <alignment horizontal="center" vertical="center" wrapText="1"/>
    </xf>
    <xf numFmtId="0" fontId="52" fillId="14" borderId="55" xfId="4" applyFont="1" applyFill="1" applyBorder="1" applyAlignment="1">
      <alignment horizontal="center" vertical="center" wrapText="1"/>
    </xf>
    <xf numFmtId="0" fontId="52" fillId="0" borderId="0" xfId="4" applyFont="1" applyAlignment="1">
      <alignment horizontal="center" vertical="center" wrapText="1"/>
    </xf>
    <xf numFmtId="0" fontId="50" fillId="0" borderId="0" xfId="4" applyFont="1" applyAlignment="1">
      <alignment horizontal="center" vertical="center" wrapText="1"/>
    </xf>
    <xf numFmtId="0" fontId="50" fillId="15" borderId="56" xfId="4" applyFont="1" applyFill="1" applyBorder="1" applyAlignment="1">
      <alignment horizontal="center" vertical="center" wrapText="1"/>
    </xf>
    <xf numFmtId="0" fontId="53" fillId="0" borderId="0" xfId="4" applyFont="1" applyAlignment="1">
      <alignment horizontal="center" vertical="center" wrapText="1"/>
    </xf>
    <xf numFmtId="0" fontId="54" fillId="0" borderId="57" xfId="5" quotePrefix="1" applyFill="1" applyBorder="1" applyAlignment="1">
      <alignment horizontal="center" vertical="center" wrapText="1"/>
    </xf>
    <xf numFmtId="0" fontId="54" fillId="0" borderId="57" xfId="5" applyFill="1" applyBorder="1" applyAlignment="1">
      <alignment horizontal="center" vertical="center" wrapText="1"/>
    </xf>
    <xf numFmtId="0" fontId="54" fillId="0" borderId="58" xfId="5" quotePrefix="1" applyFill="1" applyBorder="1" applyAlignment="1">
      <alignment horizontal="center" vertical="center" wrapText="1"/>
    </xf>
    <xf numFmtId="0" fontId="54" fillId="0" borderId="0" xfId="5" quotePrefix="1" applyFill="1" applyBorder="1" applyAlignment="1">
      <alignment horizontal="center" vertical="center" wrapText="1"/>
    </xf>
    <xf numFmtId="0" fontId="50" fillId="15" borderId="0" xfId="4" applyFont="1" applyFill="1" applyAlignment="1">
      <alignment horizontal="center" vertical="center" wrapText="1"/>
    </xf>
    <xf numFmtId="0" fontId="53" fillId="15" borderId="0" xfId="4" applyFont="1" applyFill="1" applyAlignment="1">
      <alignment horizontal="center" vertical="center" wrapText="1"/>
    </xf>
    <xf numFmtId="0" fontId="6" fillId="15" borderId="0" xfId="4" applyFill="1" applyAlignment="1">
      <alignment horizontal="center" vertical="center" wrapText="1"/>
    </xf>
    <xf numFmtId="0" fontId="47" fillId="0" borderId="0" xfId="4" applyFont="1" applyAlignment="1">
      <alignment horizontal="center" vertical="center" wrapText="1"/>
    </xf>
    <xf numFmtId="0" fontId="55" fillId="0" borderId="0" xfId="4" applyFont="1" applyAlignment="1">
      <alignment horizontal="center" vertical="center" wrapText="1"/>
    </xf>
    <xf numFmtId="0" fontId="54" fillId="0" borderId="0" xfId="5" applyAlignment="1" applyProtection="1">
      <alignment horizontal="center" vertical="center" wrapText="1"/>
    </xf>
    <xf numFmtId="0" fontId="56" fillId="0" borderId="0" xfId="4" applyFont="1" applyAlignment="1">
      <alignment horizontal="center" vertical="center" wrapText="1"/>
    </xf>
    <xf numFmtId="0" fontId="57" fillId="0" borderId="0" xfId="4" applyFont="1" applyAlignment="1">
      <alignment horizontal="center" vertical="center" wrapText="1"/>
    </xf>
    <xf numFmtId="0" fontId="6" fillId="0" borderId="0" xfId="4" quotePrefix="1" applyAlignment="1">
      <alignment horizontal="center" vertical="center" wrapText="1"/>
    </xf>
    <xf numFmtId="0" fontId="52" fillId="0" borderId="0" xfId="4" quotePrefix="1" applyFont="1" applyAlignment="1">
      <alignment horizontal="center" vertical="center" wrapText="1"/>
    </xf>
    <xf numFmtId="0" fontId="54" fillId="0" borderId="0" xfId="5" applyFill="1" applyBorder="1" applyAlignment="1">
      <alignment horizontal="center" vertical="center" wrapText="1"/>
    </xf>
    <xf numFmtId="0" fontId="58" fillId="0" borderId="0" xfId="5" quotePrefix="1" applyFont="1" applyFill="1" applyBorder="1" applyAlignment="1">
      <alignment horizontal="center" vertical="center" wrapText="1"/>
    </xf>
    <xf numFmtId="0" fontId="59" fillId="0" borderId="0" xfId="4" quotePrefix="1" applyFont="1" applyAlignment="1">
      <alignment horizontal="center" vertical="center" wrapText="1"/>
    </xf>
    <xf numFmtId="0" fontId="59" fillId="14" borderId="0" xfId="4" applyFont="1" applyFill="1" applyAlignment="1">
      <alignment horizontal="center" vertical="center" wrapText="1"/>
    </xf>
    <xf numFmtId="0" fontId="60" fillId="14" borderId="0" xfId="4" quotePrefix="1" applyFont="1" applyFill="1" applyAlignment="1">
      <alignment horizontal="center" vertical="center" wrapText="1"/>
    </xf>
    <xf numFmtId="0" fontId="53" fillId="14" borderId="0" xfId="4" applyFont="1" applyFill="1" applyAlignment="1">
      <alignment horizontal="center" vertical="center" wrapText="1"/>
    </xf>
    <xf numFmtId="0" fontId="47" fillId="14" borderId="0" xfId="4" applyFont="1" applyFill="1" applyAlignment="1">
      <alignment horizontal="center" vertical="center" wrapText="1"/>
    </xf>
    <xf numFmtId="166" fontId="6" fillId="0" borderId="0" xfId="4" applyNumberFormat="1" applyAlignment="1">
      <alignment horizontal="center" vertical="center" wrapText="1"/>
    </xf>
    <xf numFmtId="0" fontId="56" fillId="0" borderId="0" xfId="4" quotePrefix="1" applyFont="1" applyAlignment="1">
      <alignment horizontal="center" vertical="center" wrapText="1"/>
    </xf>
    <xf numFmtId="167" fontId="6" fillId="0" borderId="0" xfId="4" applyNumberFormat="1" applyAlignment="1">
      <alignment horizontal="center" vertical="center" wrapText="1"/>
    </xf>
    <xf numFmtId="2" fontId="6" fillId="0" borderId="0" xfId="4" applyNumberFormat="1" applyAlignment="1">
      <alignment horizontal="center" vertical="center" wrapText="1"/>
    </xf>
    <xf numFmtId="0" fontId="59" fillId="14" borderId="0" xfId="4" quotePrefix="1" applyFont="1" applyFill="1" applyAlignment="1">
      <alignment horizontal="center" vertical="center" wrapText="1"/>
    </xf>
    <xf numFmtId="168" fontId="0" fillId="0" borderId="0" xfId="6" applyNumberFormat="1" applyFont="1" applyFill="1" applyBorder="1" applyAlignment="1">
      <alignment horizontal="center" vertical="center" wrapText="1"/>
    </xf>
    <xf numFmtId="9" fontId="0" fillId="0" borderId="0" xfId="6" applyFont="1" applyFill="1" applyBorder="1" applyAlignment="1">
      <alignment horizontal="center" vertical="center" wrapText="1"/>
    </xf>
    <xf numFmtId="10" fontId="52" fillId="0" borderId="0" xfId="6" applyNumberFormat="1" applyFont="1" applyFill="1" applyBorder="1" applyAlignment="1" applyProtection="1">
      <alignment horizontal="center" vertical="center" wrapText="1"/>
    </xf>
    <xf numFmtId="10" fontId="6" fillId="0" borderId="0" xfId="4" applyNumberFormat="1"/>
    <xf numFmtId="3" fontId="6" fillId="0" borderId="0" xfId="4" quotePrefix="1" applyNumberFormat="1" applyAlignment="1">
      <alignment horizontal="center" vertical="center" wrapText="1"/>
    </xf>
    <xf numFmtId="168" fontId="6" fillId="0" borderId="0" xfId="4" quotePrefix="1" applyNumberFormat="1" applyAlignment="1">
      <alignment horizontal="center" vertical="center" wrapText="1"/>
    </xf>
    <xf numFmtId="10" fontId="6" fillId="0" borderId="0" xfId="4" quotePrefix="1" applyNumberFormat="1" applyAlignment="1">
      <alignment horizontal="center" vertical="center" wrapText="1"/>
    </xf>
    <xf numFmtId="0" fontId="6" fillId="0" borderId="0" xfId="4" quotePrefix="1" applyAlignment="1">
      <alignment horizontal="right" vertical="center" wrapText="1"/>
    </xf>
    <xf numFmtId="168" fontId="0" fillId="0" borderId="0" xfId="6" quotePrefix="1" applyNumberFormat="1" applyFont="1" applyFill="1" applyBorder="1" applyAlignment="1">
      <alignment horizontal="center" vertical="center" wrapText="1"/>
    </xf>
    <xf numFmtId="0" fontId="56" fillId="0" borderId="0" xfId="4" applyFont="1" applyAlignment="1">
      <alignment horizontal="right" vertical="center" wrapText="1"/>
    </xf>
    <xf numFmtId="167" fontId="46" fillId="0" borderId="0" xfId="4" applyNumberFormat="1" applyFont="1" applyAlignment="1">
      <alignment horizontal="center" vertical="center" wrapText="1"/>
    </xf>
    <xf numFmtId="0" fontId="46" fillId="0" borderId="0" xfId="4" applyFont="1" applyAlignment="1">
      <alignment horizontal="center" vertical="center" wrapText="1"/>
    </xf>
    <xf numFmtId="9" fontId="0" fillId="0" borderId="0" xfId="6" quotePrefix="1" applyFont="1" applyFill="1" applyBorder="1" applyAlignment="1">
      <alignment horizontal="center" vertical="center" wrapText="1"/>
    </xf>
    <xf numFmtId="0" fontId="61" fillId="14" borderId="0" xfId="4" quotePrefix="1" applyFont="1" applyFill="1" applyAlignment="1">
      <alignment horizontal="center" vertical="center" wrapText="1"/>
    </xf>
    <xf numFmtId="0" fontId="47" fillId="14" borderId="0" xfId="4" quotePrefix="1" applyFont="1" applyFill="1" applyAlignment="1">
      <alignment horizontal="center" vertical="center" wrapText="1"/>
    </xf>
    <xf numFmtId="0" fontId="55" fillId="14" borderId="0" xfId="4" applyFont="1" applyFill="1" applyAlignment="1">
      <alignment horizontal="center" vertical="center" wrapText="1"/>
    </xf>
    <xf numFmtId="0" fontId="62" fillId="14" borderId="0" xfId="4" applyFont="1" applyFill="1" applyAlignment="1">
      <alignment horizontal="center" vertical="center" wrapText="1"/>
    </xf>
    <xf numFmtId="169" fontId="6" fillId="0" borderId="0" xfId="4" applyNumberFormat="1" applyAlignment="1">
      <alignment horizontal="center" vertical="center" wrapText="1"/>
    </xf>
    <xf numFmtId="0" fontId="47" fillId="0" borderId="0" xfId="4" quotePrefix="1" applyFont="1" applyAlignment="1">
      <alignment horizontal="center" vertical="center" wrapText="1"/>
    </xf>
    <xf numFmtId="167" fontId="6" fillId="0" borderId="0" xfId="4" quotePrefix="1" applyNumberFormat="1" applyAlignment="1">
      <alignment horizontal="center" vertical="center" wrapText="1"/>
    </xf>
    <xf numFmtId="0" fontId="56" fillId="0" borderId="0" xfId="4" quotePrefix="1" applyFont="1" applyAlignment="1">
      <alignment horizontal="right" vertical="center" wrapText="1"/>
    </xf>
    <xf numFmtId="168" fontId="47" fillId="0" borderId="0" xfId="4" applyNumberFormat="1" applyFont="1" applyAlignment="1">
      <alignment horizontal="center" vertical="center" wrapText="1"/>
    </xf>
    <xf numFmtId="168" fontId="47" fillId="0" borderId="0" xfId="4" quotePrefix="1" applyNumberFormat="1" applyFont="1" applyAlignment="1">
      <alignment horizontal="center" vertical="center" wrapText="1"/>
    </xf>
    <xf numFmtId="169" fontId="47" fillId="0" borderId="0" xfId="4" applyNumberFormat="1" applyFont="1" applyAlignment="1">
      <alignment horizontal="center" vertical="center" wrapText="1"/>
    </xf>
    <xf numFmtId="0" fontId="61" fillId="14" borderId="0" xfId="4" applyFont="1" applyFill="1" applyAlignment="1">
      <alignment horizontal="center" vertical="center" wrapText="1"/>
    </xf>
    <xf numFmtId="0" fontId="6" fillId="0" borderId="0" xfId="4" applyAlignment="1">
      <alignment horizontal="right" vertical="center" wrapText="1"/>
    </xf>
    <xf numFmtId="167" fontId="56" fillId="0" borderId="0" xfId="4" quotePrefix="1" applyNumberFormat="1" applyFont="1" applyAlignment="1">
      <alignment horizontal="right" vertical="center" wrapText="1"/>
    </xf>
    <xf numFmtId="0" fontId="6" fillId="0" borderId="0" xfId="4" applyAlignment="1">
      <alignment horizontal="center"/>
    </xf>
    <xf numFmtId="0" fontId="63" fillId="0" borderId="0" xfId="4" applyFont="1" applyAlignment="1">
      <alignment horizontal="left" vertical="center"/>
    </xf>
    <xf numFmtId="0" fontId="63" fillId="0" borderId="0" xfId="4" applyFont="1" applyAlignment="1">
      <alignment horizontal="center" vertical="center" wrapText="1"/>
    </xf>
    <xf numFmtId="0" fontId="64" fillId="0" borderId="0" xfId="4" applyFont="1" applyAlignment="1">
      <alignment horizontal="center" vertical="center" wrapText="1"/>
    </xf>
    <xf numFmtId="9" fontId="52" fillId="0" borderId="0" xfId="6" applyFont="1" applyFill="1" applyBorder="1" applyAlignment="1">
      <alignment horizontal="center" vertical="center" wrapText="1"/>
    </xf>
    <xf numFmtId="0" fontId="65" fillId="0" borderId="0" xfId="4" applyFont="1" applyAlignment="1">
      <alignment horizontal="center" vertical="center" wrapText="1"/>
    </xf>
    <xf numFmtId="0" fontId="54" fillId="0" borderId="0" xfId="5" applyAlignment="1">
      <alignment horizontal="center"/>
    </xf>
    <xf numFmtId="0" fontId="57" fillId="0" borderId="0" xfId="4" quotePrefix="1" applyFont="1" applyAlignment="1">
      <alignment horizontal="center" vertical="center" wrapText="1"/>
    </xf>
    <xf numFmtId="0" fontId="57" fillId="0" borderId="0" xfId="4" applyFont="1" applyAlignment="1">
      <alignment horizontal="right" vertical="center" wrapText="1"/>
    </xf>
    <xf numFmtId="0" fontId="54" fillId="0" borderId="57" xfId="5" applyFill="1" applyBorder="1" applyAlignment="1" applyProtection="1">
      <alignment horizontal="center" vertical="center" wrapText="1"/>
    </xf>
    <xf numFmtId="0" fontId="54" fillId="0" borderId="57" xfId="5" quotePrefix="1" applyFill="1" applyBorder="1" applyAlignment="1" applyProtection="1">
      <alignment horizontal="right" vertical="center" wrapText="1"/>
    </xf>
    <xf numFmtId="0" fontId="54" fillId="0" borderId="58" xfId="5" quotePrefix="1" applyFill="1" applyBorder="1" applyAlignment="1" applyProtection="1">
      <alignment horizontal="right" vertical="center" wrapText="1"/>
    </xf>
    <xf numFmtId="0" fontId="54" fillId="0" borderId="0" xfId="5" quotePrefix="1" applyFill="1" applyBorder="1" applyAlignment="1" applyProtection="1">
      <alignment horizontal="center" vertical="center" wrapText="1"/>
    </xf>
    <xf numFmtId="168" fontId="0" fillId="0" borderId="0" xfId="6" applyNumberFormat="1" applyFont="1" applyFill="1" applyBorder="1" applyAlignment="1" applyProtection="1">
      <alignment horizontal="center" vertical="center" wrapText="1"/>
    </xf>
    <xf numFmtId="168" fontId="6" fillId="0" borderId="0" xfId="4" applyNumberFormat="1" applyAlignment="1">
      <alignment horizontal="center" vertical="center" wrapText="1"/>
    </xf>
    <xf numFmtId="0" fontId="66" fillId="0" borderId="0" xfId="4" applyFont="1" applyAlignment="1">
      <alignment horizontal="center" vertical="center" wrapText="1"/>
    </xf>
    <xf numFmtId="168" fontId="66" fillId="0" borderId="0" xfId="6" applyNumberFormat="1" applyFont="1" applyFill="1" applyBorder="1" applyAlignment="1" applyProtection="1">
      <alignment horizontal="center" vertical="center" wrapText="1"/>
    </xf>
    <xf numFmtId="4" fontId="6" fillId="0" borderId="0" xfId="4" applyNumberFormat="1"/>
    <xf numFmtId="9" fontId="0" fillId="0" borderId="0" xfId="6" applyFont="1"/>
    <xf numFmtId="170" fontId="0" fillId="0" borderId="0" xfId="6" applyNumberFormat="1" applyFont="1"/>
    <xf numFmtId="0" fontId="60" fillId="14" borderId="0" xfId="4" applyFont="1" applyFill="1" applyAlignment="1">
      <alignment horizontal="center" vertical="center" wrapText="1"/>
    </xf>
    <xf numFmtId="168" fontId="52" fillId="0" borderId="0" xfId="6" applyNumberFormat="1" applyFont="1" applyFill="1" applyBorder="1" applyAlignment="1" applyProtection="1">
      <alignment horizontal="center" vertical="center" wrapText="1"/>
    </xf>
    <xf numFmtId="9" fontId="56" fillId="0" borderId="0" xfId="6" applyFont="1" applyFill="1" applyBorder="1" applyAlignment="1" applyProtection="1">
      <alignment horizontal="center" vertical="center" wrapText="1"/>
    </xf>
    <xf numFmtId="9" fontId="57" fillId="0" borderId="0" xfId="6" applyFont="1" applyFill="1" applyBorder="1" applyAlignment="1" applyProtection="1">
      <alignment horizontal="center" vertical="center" wrapText="1"/>
    </xf>
    <xf numFmtId="0" fontId="59" fillId="16" borderId="0" xfId="4" applyFont="1" applyFill="1" applyAlignment="1">
      <alignment horizontal="center" vertical="center" wrapText="1"/>
    </xf>
    <xf numFmtId="0" fontId="67" fillId="16" borderId="0" xfId="4" quotePrefix="1" applyFont="1" applyFill="1" applyAlignment="1">
      <alignment horizontal="center" vertical="center" wrapText="1"/>
    </xf>
    <xf numFmtId="0" fontId="47" fillId="16" borderId="0" xfId="4" applyFont="1" applyFill="1" applyAlignment="1">
      <alignment horizontal="center" vertical="center" wrapText="1"/>
    </xf>
    <xf numFmtId="0" fontId="61" fillId="0" borderId="0" xfId="4" quotePrefix="1" applyFont="1" applyAlignment="1">
      <alignment horizontal="center" vertical="center" wrapText="1"/>
    </xf>
    <xf numFmtId="0" fontId="59" fillId="0" borderId="0" xfId="4" applyFont="1" applyAlignment="1">
      <alignment horizontal="center" vertical="center" wrapText="1"/>
    </xf>
    <xf numFmtId="168" fontId="52" fillId="0" borderId="0" xfId="4" quotePrefix="1" applyNumberFormat="1" applyFont="1" applyAlignment="1">
      <alignment horizontal="center" vertical="center" wrapText="1"/>
    </xf>
    <xf numFmtId="9" fontId="52" fillId="0" borderId="0" xfId="6" applyFont="1" applyFill="1" applyBorder="1" applyAlignment="1" applyProtection="1">
      <alignment horizontal="center" vertical="center" wrapText="1"/>
    </xf>
    <xf numFmtId="9" fontId="0" fillId="0" borderId="0" xfId="6" applyFont="1" applyFill="1" applyBorder="1" applyAlignment="1" applyProtection="1">
      <alignment horizontal="center" vertical="center" wrapText="1"/>
    </xf>
    <xf numFmtId="168" fontId="0" fillId="0" borderId="0" xfId="6" quotePrefix="1" applyNumberFormat="1" applyFont="1" applyFill="1" applyBorder="1" applyAlignment="1" applyProtection="1">
      <alignment horizontal="center" vertical="center" wrapText="1"/>
    </xf>
    <xf numFmtId="3" fontId="6" fillId="0" borderId="0" xfId="4" applyNumberFormat="1" applyAlignment="1">
      <alignment horizontal="center" vertical="center" wrapText="1"/>
    </xf>
    <xf numFmtId="168" fontId="46" fillId="0" borderId="0" xfId="6" applyNumberFormat="1" applyFont="1" applyFill="1" applyBorder="1" applyAlignment="1" applyProtection="1">
      <alignment horizontal="center" vertical="center" wrapText="1"/>
    </xf>
    <xf numFmtId="168" fontId="52" fillId="0" borderId="0" xfId="4" applyNumberFormat="1" applyFont="1" applyAlignment="1">
      <alignment horizontal="center" vertical="center" wrapText="1"/>
    </xf>
    <xf numFmtId="0" fontId="6" fillId="0" borderId="0" xfId="4" quotePrefix="1" applyAlignment="1">
      <alignment horizontal="center"/>
    </xf>
    <xf numFmtId="168" fontId="52" fillId="0" borderId="0" xfId="6" applyNumberFormat="1" applyFont="1" applyAlignment="1">
      <alignment horizontal="center" vertical="center" wrapText="1"/>
    </xf>
    <xf numFmtId="0" fontId="5" fillId="0" borderId="0" xfId="4" quotePrefix="1" applyFont="1" applyAlignment="1">
      <alignment horizontal="right" vertical="center" wrapText="1"/>
    </xf>
    <xf numFmtId="0" fontId="4" fillId="0" borderId="0" xfId="4" quotePrefix="1" applyFont="1" applyAlignment="1">
      <alignment horizontal="center" vertical="center" wrapText="1"/>
    </xf>
    <xf numFmtId="0" fontId="68" fillId="0" borderId="0" xfId="2" applyFont="1" applyAlignment="1" applyProtection="1">
      <alignment horizontal="center" vertical="center" wrapText="1"/>
    </xf>
    <xf numFmtId="9" fontId="6" fillId="0" borderId="0" xfId="7" applyFont="1" applyAlignment="1">
      <alignment horizontal="center" vertical="center" wrapText="1"/>
    </xf>
    <xf numFmtId="1" fontId="6" fillId="0" borderId="0" xfId="1" applyNumberFormat="1" applyFont="1" applyAlignment="1">
      <alignment horizontal="center" vertical="center" wrapText="1"/>
    </xf>
    <xf numFmtId="1" fontId="6" fillId="0" borderId="0" xfId="4" applyNumberFormat="1" applyAlignment="1">
      <alignment horizontal="center" vertical="center" wrapText="1"/>
    </xf>
    <xf numFmtId="10" fontId="52" fillId="0" borderId="0" xfId="4" applyNumberFormat="1" applyFont="1" applyAlignment="1">
      <alignment horizontal="center" vertical="center" wrapText="1"/>
    </xf>
    <xf numFmtId="0" fontId="6" fillId="0" borderId="0" xfId="4" applyFill="1" applyAlignment="1">
      <alignment horizontal="center" vertical="center" wrapText="1"/>
    </xf>
    <xf numFmtId="166" fontId="6" fillId="0" borderId="0" xfId="4" applyNumberFormat="1" applyFill="1" applyAlignment="1">
      <alignment horizontal="center" vertical="center" wrapText="1"/>
    </xf>
    <xf numFmtId="3" fontId="6" fillId="0" borderId="0" xfId="4" applyNumberFormat="1" applyFill="1" applyAlignment="1">
      <alignment horizontal="center" vertical="center" wrapText="1"/>
    </xf>
    <xf numFmtId="168" fontId="6" fillId="0" borderId="0" xfId="4" quotePrefix="1" applyNumberFormat="1" applyFill="1" applyAlignment="1">
      <alignment horizontal="center" vertical="center" wrapText="1"/>
    </xf>
    <xf numFmtId="168" fontId="6" fillId="0" borderId="0" xfId="7" quotePrefix="1" applyNumberFormat="1" applyFont="1" applyFill="1" applyAlignment="1">
      <alignment horizontal="center" vertical="center" wrapText="1"/>
    </xf>
    <xf numFmtId="2" fontId="6" fillId="0" borderId="0" xfId="4" applyNumberFormat="1" applyFill="1" applyAlignment="1">
      <alignment horizontal="center" vertical="center" wrapText="1"/>
    </xf>
    <xf numFmtId="0" fontId="3" fillId="0" borderId="0" xfId="4" applyFont="1" applyFill="1" applyAlignment="1">
      <alignment horizontal="center" vertical="center" wrapText="1"/>
    </xf>
    <xf numFmtId="0" fontId="47" fillId="0" borderId="0" xfId="4" applyFont="1" applyFill="1" applyAlignment="1">
      <alignment horizontal="center" vertical="center" wrapText="1"/>
    </xf>
    <xf numFmtId="168" fontId="6" fillId="0" borderId="0" xfId="4" applyNumberFormat="1" applyFill="1" applyAlignment="1">
      <alignment horizontal="center" vertical="center" wrapText="1"/>
    </xf>
    <xf numFmtId="168" fontId="7" fillId="0" borderId="0" xfId="6" applyNumberFormat="1" applyFont="1" applyFill="1" applyBorder="1" applyAlignment="1" applyProtection="1">
      <alignment horizontal="center" vertical="center" wrapText="1"/>
    </xf>
    <xf numFmtId="171" fontId="6" fillId="0" borderId="0" xfId="4" applyNumberFormat="1" applyAlignment="1">
      <alignment horizontal="center" vertical="center" wrapText="1"/>
    </xf>
    <xf numFmtId="172" fontId="6" fillId="0" borderId="0" xfId="4" applyNumberFormat="1" applyAlignment="1">
      <alignment horizontal="center" vertical="center" wrapText="1"/>
    </xf>
    <xf numFmtId="173" fontId="0" fillId="0" borderId="0" xfId="6" applyNumberFormat="1" applyFont="1" applyFill="1" applyBorder="1" applyAlignment="1" applyProtection="1">
      <alignment horizontal="center" vertical="center" wrapText="1"/>
    </xf>
    <xf numFmtId="14" fontId="2" fillId="0" borderId="0" xfId="4" applyNumberFormat="1" applyFont="1" applyFill="1" applyAlignment="1">
      <alignment horizontal="center" vertical="center" wrapText="1"/>
    </xf>
    <xf numFmtId="3" fontId="6" fillId="0" borderId="0" xfId="4" quotePrefix="1" applyNumberFormat="1" applyFill="1" applyAlignment="1">
      <alignment horizontal="center" vertical="center" wrapText="1"/>
    </xf>
    <xf numFmtId="174" fontId="6" fillId="0" borderId="0" xfId="4" applyNumberFormat="1" applyFill="1" applyAlignment="1">
      <alignment horizontal="center" vertical="center" wrapText="1"/>
    </xf>
    <xf numFmtId="167" fontId="6" fillId="0" borderId="0" xfId="4" applyNumberFormat="1" applyFill="1" applyAlignment="1">
      <alignment horizontal="center" vertical="center" wrapText="1"/>
    </xf>
    <xf numFmtId="169" fontId="6" fillId="0" borderId="0" xfId="4" applyNumberFormat="1" applyFill="1" applyAlignment="1">
      <alignment horizontal="center" vertical="center" wrapText="1"/>
    </xf>
    <xf numFmtId="168" fontId="1" fillId="0" borderId="0" xfId="4" quotePrefix="1" applyNumberFormat="1" applyFont="1" applyAlignment="1">
      <alignment horizontal="center" vertical="center" wrapText="1"/>
    </xf>
    <xf numFmtId="168" fontId="70" fillId="0" borderId="0" xfId="6" quotePrefix="1" applyNumberFormat="1" applyFont="1" applyFill="1" applyBorder="1" applyAlignment="1">
      <alignment horizontal="center" vertical="center" wrapText="1"/>
    </xf>
    <xf numFmtId="0" fontId="52" fillId="0" borderId="0" xfId="0" applyFont="1" applyAlignment="1"/>
    <xf numFmtId="0" fontId="23" fillId="0" borderId="0" xfId="0" applyFont="1" applyAlignment="1"/>
    <xf numFmtId="0" fontId="54" fillId="0" borderId="0" xfId="5" applyAlignment="1" applyProtection="1">
      <alignment horizontal="left" vertical="center"/>
    </xf>
    <xf numFmtId="0" fontId="38" fillId="13" borderId="0" xfId="0" applyFont="1" applyFill="1" applyAlignment="1">
      <alignment horizontal="center" vertical="center" wrapText="1"/>
    </xf>
    <xf numFmtId="0" fontId="7" fillId="10" borderId="21" xfId="0" applyFont="1" applyFill="1" applyBorder="1" applyAlignment="1">
      <alignment horizontal="center" vertical="center" wrapText="1"/>
    </xf>
    <xf numFmtId="0" fontId="7" fillId="10" borderId="50" xfId="0" applyFont="1" applyFill="1" applyBorder="1" applyAlignment="1">
      <alignment horizontal="center" vertical="center" wrapText="1"/>
    </xf>
    <xf numFmtId="0" fontId="7" fillId="0" borderId="0" xfId="0" applyFont="1" applyAlignment="1">
      <alignment horizontal="left" vertical="center" wrapText="1"/>
    </xf>
    <xf numFmtId="0" fontId="7" fillId="10" borderId="51" xfId="0" applyFont="1" applyFill="1" applyBorder="1" applyAlignment="1">
      <alignment horizontal="center" vertical="center" wrapText="1"/>
    </xf>
    <xf numFmtId="0" fontId="7" fillId="10" borderId="52" xfId="0" applyFont="1" applyFill="1" applyBorder="1" applyAlignment="1">
      <alignment horizontal="center" vertical="center" wrapText="1"/>
    </xf>
    <xf numFmtId="0" fontId="7" fillId="10" borderId="53" xfId="0" applyFont="1" applyFill="1" applyBorder="1" applyAlignment="1">
      <alignment horizontal="center" vertical="center" wrapText="1"/>
    </xf>
    <xf numFmtId="168" fontId="6" fillId="0" borderId="0" xfId="7" applyNumberFormat="1" applyFont="1" applyAlignment="1">
      <alignment horizontal="center" vertical="center" wrapText="1"/>
    </xf>
  </cellXfs>
  <cellStyles count="8">
    <cellStyle name="Comma" xfId="1" builtinId="3"/>
    <cellStyle name="Hyperlink" xfId="2" builtinId="8"/>
    <cellStyle name="Link 2" xfId="5" xr:uid="{3AA97B71-C9C3-4773-B36E-7D9029D3D40E}"/>
    <cellStyle name="Normal" xfId="0" builtinId="0"/>
    <cellStyle name="Normal 2" xfId="3" xr:uid="{00000000-0005-0000-0000-000004000000}"/>
    <cellStyle name="Percent" xfId="7" builtinId="5"/>
    <cellStyle name="Prozent 2" xfId="6" xr:uid="{6611811A-D8DF-472B-9D85-B2ACE8935CC7}"/>
    <cellStyle name="Standard 2" xfId="4" xr:uid="{F17904C6-1745-4062-B152-68D802CCAB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9" Type="http://schemas.openxmlformats.org/officeDocument/2006/relationships/customXml" Target="../customXml/item26.xml"/><Relationship Id="rId3" Type="http://schemas.openxmlformats.org/officeDocument/2006/relationships/worksheet" Target="worksheets/sheet3.xml"/><Relationship Id="rId21" Type="http://schemas.openxmlformats.org/officeDocument/2006/relationships/customXml" Target="../customXml/item8.xml"/><Relationship Id="rId34" Type="http://schemas.openxmlformats.org/officeDocument/2006/relationships/customXml" Target="../customXml/item21.xml"/><Relationship Id="rId7" Type="http://schemas.openxmlformats.org/officeDocument/2006/relationships/externalLink" Target="externalLinks/externalLink1.xml"/><Relationship Id="rId12" Type="http://schemas.openxmlformats.org/officeDocument/2006/relationships/sheetMetadata" Target="metadata.xml"/><Relationship Id="rId17" Type="http://schemas.openxmlformats.org/officeDocument/2006/relationships/customXml" Target="../customXml/item4.xml"/><Relationship Id="rId25" Type="http://schemas.openxmlformats.org/officeDocument/2006/relationships/customXml" Target="../customXml/item12.xml"/><Relationship Id="rId33" Type="http://schemas.openxmlformats.org/officeDocument/2006/relationships/customXml" Target="../customXml/item20.xml"/><Relationship Id="rId38" Type="http://schemas.openxmlformats.org/officeDocument/2006/relationships/customXml" Target="../customXml/item25.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41" Type="http://schemas.openxmlformats.org/officeDocument/2006/relationships/customXml" Target="../customXml/item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37" Type="http://schemas.openxmlformats.org/officeDocument/2006/relationships/customXml" Target="../customXml/item24.xml"/><Relationship Id="rId40" Type="http://schemas.openxmlformats.org/officeDocument/2006/relationships/customXml" Target="../customXml/item27.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36" Type="http://schemas.openxmlformats.org/officeDocument/2006/relationships/customXml" Target="../customXml/item23.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 Id="rId35" Type="http://schemas.openxmlformats.org/officeDocument/2006/relationships/customXml" Target="../customXml/item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533400</xdr:colOff>
      <xdr:row>423</xdr:row>
      <xdr:rowOff>0</xdr:rowOff>
    </xdr:from>
    <xdr:to>
      <xdr:col>6</xdr:col>
      <xdr:colOff>666750</xdr:colOff>
      <xdr:row>423</xdr:row>
      <xdr:rowOff>0</xdr:rowOff>
    </xdr:to>
    <xdr:pic>
      <xdr:nvPicPr>
        <xdr:cNvPr id="288481" name="CommandButton1">
          <a:extLst>
            <a:ext uri="{FF2B5EF4-FFF2-40B4-BE49-F238E27FC236}">
              <a16:creationId xmlns:a16="http://schemas.microsoft.com/office/drawing/2014/main" id="{00000000-0008-0000-0900-0000E1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2" name="CommandButton1">
          <a:extLst>
            <a:ext uri="{FF2B5EF4-FFF2-40B4-BE49-F238E27FC236}">
              <a16:creationId xmlns:a16="http://schemas.microsoft.com/office/drawing/2014/main" id="{00000000-0008-0000-0900-0000E2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3" name="CommandButton1">
          <a:extLst>
            <a:ext uri="{FF2B5EF4-FFF2-40B4-BE49-F238E27FC236}">
              <a16:creationId xmlns:a16="http://schemas.microsoft.com/office/drawing/2014/main" id="{00000000-0008-0000-0900-0000E3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4" name="CommandButton1">
          <a:extLst>
            <a:ext uri="{FF2B5EF4-FFF2-40B4-BE49-F238E27FC236}">
              <a16:creationId xmlns:a16="http://schemas.microsoft.com/office/drawing/2014/main" id="{00000000-0008-0000-0900-0000E4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5" name="CommandButton1">
          <a:extLst>
            <a:ext uri="{FF2B5EF4-FFF2-40B4-BE49-F238E27FC236}">
              <a16:creationId xmlns:a16="http://schemas.microsoft.com/office/drawing/2014/main" id="{00000000-0008-0000-0900-0000E5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6" name="CommandButton1">
          <a:extLst>
            <a:ext uri="{FF2B5EF4-FFF2-40B4-BE49-F238E27FC236}">
              <a16:creationId xmlns:a16="http://schemas.microsoft.com/office/drawing/2014/main" id="{00000000-0008-0000-0900-0000E6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7" name="CommandButton1">
          <a:extLst>
            <a:ext uri="{FF2B5EF4-FFF2-40B4-BE49-F238E27FC236}">
              <a16:creationId xmlns:a16="http://schemas.microsoft.com/office/drawing/2014/main" id="{00000000-0008-0000-0900-0000E7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8" name="CommandButton1">
          <a:extLst>
            <a:ext uri="{FF2B5EF4-FFF2-40B4-BE49-F238E27FC236}">
              <a16:creationId xmlns:a16="http://schemas.microsoft.com/office/drawing/2014/main" id="{00000000-0008-0000-0900-0000E8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9" name="CommandButton1">
          <a:extLst>
            <a:ext uri="{FF2B5EF4-FFF2-40B4-BE49-F238E27FC236}">
              <a16:creationId xmlns:a16="http://schemas.microsoft.com/office/drawing/2014/main" id="{00000000-0008-0000-0900-0000E9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0" name="CommandButton1">
          <a:extLst>
            <a:ext uri="{FF2B5EF4-FFF2-40B4-BE49-F238E27FC236}">
              <a16:creationId xmlns:a16="http://schemas.microsoft.com/office/drawing/2014/main" id="{00000000-0008-0000-0900-0000EA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1" name="CommandButton1">
          <a:extLst>
            <a:ext uri="{FF2B5EF4-FFF2-40B4-BE49-F238E27FC236}">
              <a16:creationId xmlns:a16="http://schemas.microsoft.com/office/drawing/2014/main" id="{00000000-0008-0000-0900-0000EB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2" name="CommandButton1">
          <a:extLst>
            <a:ext uri="{FF2B5EF4-FFF2-40B4-BE49-F238E27FC236}">
              <a16:creationId xmlns:a16="http://schemas.microsoft.com/office/drawing/2014/main" id="{00000000-0008-0000-0900-0000EC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533400</xdr:colOff>
          <xdr:row>423</xdr:row>
          <xdr:rowOff>0</xdr:rowOff>
        </xdr:from>
        <xdr:to>
          <xdr:col>6</xdr:col>
          <xdr:colOff>676275</xdr:colOff>
          <xdr:row>423</xdr:row>
          <xdr:rowOff>0</xdr:rowOff>
        </xdr:to>
        <xdr:sp macro="" textlink="">
          <xdr:nvSpPr>
            <xdr:cNvPr id="96259" name="CommandButton1" hidden="1">
              <a:extLst>
                <a:ext uri="{63B3BB69-23CF-44E3-9099-C40C66FF867C}">
                  <a14:compatExt spid="_x0000_s96259"/>
                </a:ext>
                <a:ext uri="{FF2B5EF4-FFF2-40B4-BE49-F238E27FC236}">
                  <a16:creationId xmlns:a16="http://schemas.microsoft.com/office/drawing/2014/main" id="{00000000-0008-0000-0500-00000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Collateral_Management\Deckungsstock\CMT%20-%20Collateral%20Management%20Tool\Reports\HTT\NC_HTT_Mortgage&amp;Public_V2_021121_CMTP_inkl_SQLs_ne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ssp\1\Users\hoganjo\AppData\Local\Microsoft\Windows\Temporary%20Internet%20Files\Content.Outlook\7PFMHLHL\Moodys%20Covered%20Bonds%20Input%20Template_December%202017%20v5%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sheetName val="Pilot"/>
      <sheetName val="Data_definitions"/>
      <sheetName val="SQL backup"/>
      <sheetName val="Disclaimer"/>
      <sheetName val="Introduction"/>
      <sheetName val="Completion Instructions"/>
      <sheetName val="FAQ"/>
      <sheetName val="A. HTT General_Mortgage"/>
      <sheetName val="A. HTT General_Public"/>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row r="6">
          <cell r="C6" vm="7">
            <v>266594453.65000001</v>
          </cell>
        </row>
        <row r="7">
          <cell r="C7" vm="8">
            <v>158430349.37</v>
          </cell>
        </row>
        <row r="8">
          <cell r="C8" vm="9">
            <v>340265390.88</v>
          </cell>
        </row>
      </sheetData>
      <sheetData sheetId="2">
        <row r="3">
          <cell r="F3" t="str" vm="10">
            <v>30.06.2023</v>
          </cell>
        </row>
        <row r="4">
          <cell r="F4" t="str" vm="11">
            <v>Summe von SLICE</v>
          </cell>
        </row>
        <row r="5">
          <cell r="F5" t="str" vm="12">
            <v>30.06.2023</v>
          </cell>
        </row>
        <row r="6">
          <cell r="F6" t="str" vm="13">
            <v>Summe von NOMINALE_EUR</v>
          </cell>
        </row>
        <row r="7">
          <cell r="F7" t="str" vm="14">
            <v>J_M</v>
          </cell>
        </row>
        <row r="8">
          <cell r="F8" t="str" vm="15">
            <v>J_P</v>
          </cell>
        </row>
        <row r="9">
          <cell r="F9" t="e">
            <v>#N/A</v>
          </cell>
        </row>
        <row r="10">
          <cell r="F10" t="str" vm="16">
            <v>Summe von SLICE 2</v>
          </cell>
        </row>
        <row r="12">
          <cell r="F12" t="str" vm="17">
            <v>&lt;1y</v>
          </cell>
        </row>
        <row r="13">
          <cell r="F13" t="str" vm="18">
            <v>&gt;=1-&lt;2y</v>
          </cell>
        </row>
        <row r="14">
          <cell r="F14" t="str" vm="19">
            <v>&gt;=2-&lt;3y</v>
          </cell>
        </row>
        <row r="15">
          <cell r="F15" t="str" vm="20">
            <v>&gt;=3-&lt;4y</v>
          </cell>
        </row>
        <row r="16">
          <cell r="F16" t="str" vm="21">
            <v>&gt;=4-&lt;5y</v>
          </cell>
        </row>
        <row r="17">
          <cell r="F17" t="str" vm="22">
            <v>&gt;=5-&lt;10y</v>
          </cell>
        </row>
        <row r="18">
          <cell r="F18" t="str" vm="23">
            <v>&gt;=10Y</v>
          </cell>
        </row>
        <row r="19">
          <cell r="F19" t="str" vm="24">
            <v>&lt;1y</v>
          </cell>
        </row>
        <row r="20">
          <cell r="F20" t="str" vm="25">
            <v>&gt;=1-&lt;2y</v>
          </cell>
        </row>
        <row r="21">
          <cell r="F21" t="str" vm="26">
            <v>&gt;=2-&lt;3y</v>
          </cell>
        </row>
        <row r="22">
          <cell r="F22" t="str" vm="27">
            <v>&gt;=3-&lt;4y</v>
          </cell>
        </row>
        <row r="23">
          <cell r="F23" t="str" vm="28">
            <v>&gt;=4-&lt;5y</v>
          </cell>
        </row>
        <row r="24">
          <cell r="F24" t="str" vm="29">
            <v>&gt;=5-&lt;10y</v>
          </cell>
        </row>
        <row r="25">
          <cell r="F25" t="str" vm="30">
            <v>&gt;=10y</v>
          </cell>
        </row>
        <row r="26">
          <cell r="F26" t="str" vm="31">
            <v>CHF</v>
          </cell>
        </row>
        <row r="27">
          <cell r="F27" t="str" vm="32">
            <v>EUR</v>
          </cell>
        </row>
        <row r="29">
          <cell r="F29" t="str" vm="33">
            <v>Yes</v>
          </cell>
        </row>
        <row r="31">
          <cell r="F31" t="str" vm="34">
            <v>&lt;1y</v>
          </cell>
        </row>
        <row r="32">
          <cell r="F32" t="str" vm="35">
            <v>&gt;=1-&lt;2y</v>
          </cell>
        </row>
        <row r="33">
          <cell r="F33" t="str" vm="36">
            <v>&gt;=2-&lt;3y</v>
          </cell>
        </row>
        <row r="34">
          <cell r="F34" t="str" vm="37">
            <v>&gt;=3-&lt;4y</v>
          </cell>
        </row>
        <row r="35">
          <cell r="F35" t="str" vm="38">
            <v>&gt;=4-&lt;5y</v>
          </cell>
        </row>
        <row r="36">
          <cell r="F36" t="str" vm="39">
            <v>&gt;=5-&lt;10y</v>
          </cell>
        </row>
        <row r="37">
          <cell r="F37" t="str" vm="40">
            <v>&gt;=10Y</v>
          </cell>
        </row>
        <row r="38">
          <cell r="F38" t="str" vm="41">
            <v>CHF</v>
          </cell>
        </row>
        <row r="39">
          <cell r="F39" t="str" vm="42">
            <v>EUR</v>
          </cell>
        </row>
        <row r="41">
          <cell r="F41" t="str" vm="43">
            <v>Yes</v>
          </cell>
        </row>
        <row r="42">
          <cell r="F42" t="str" vm="44">
            <v>COM</v>
          </cell>
        </row>
        <row r="46">
          <cell r="F46" t="str" vm="45">
            <v>Anzahl von KONTONUMMER</v>
          </cell>
        </row>
        <row r="55">
          <cell r="F55" t="str" vm="46">
            <v>Burgenland</v>
          </cell>
        </row>
        <row r="56">
          <cell r="F56" t="str" vm="47">
            <v>Kärnten</v>
          </cell>
        </row>
        <row r="57">
          <cell r="F57" t="str" vm="48">
            <v>Niederösterreich</v>
          </cell>
        </row>
        <row r="58">
          <cell r="F58" t="str" vm="49">
            <v>Oberösterreich</v>
          </cell>
        </row>
        <row r="59">
          <cell r="F59" t="str" vm="50">
            <v>Salzburg</v>
          </cell>
        </row>
        <row r="60">
          <cell r="F60" t="str" vm="51">
            <v>Steiermark</v>
          </cell>
        </row>
        <row r="61">
          <cell r="F61" t="str" vm="52">
            <v>Tirol</v>
          </cell>
        </row>
        <row r="62">
          <cell r="F62" t="str" vm="53">
            <v>Vorarlberg</v>
          </cell>
        </row>
        <row r="63">
          <cell r="F63" t="str" vm="54">
            <v>Wien</v>
          </cell>
        </row>
        <row r="64">
          <cell r="F64" t="e">
            <v>#N/A</v>
          </cell>
        </row>
        <row r="65">
          <cell r="F65" t="str" vm="55">
            <v>F</v>
          </cell>
        </row>
        <row r="66">
          <cell r="F66" t="str" vm="56">
            <v>V</v>
          </cell>
        </row>
        <row r="67">
          <cell r="F67" t="str" vm="57">
            <v/>
          </cell>
        </row>
        <row r="68">
          <cell r="F68" t="str" vm="58">
            <v>Amortising</v>
          </cell>
        </row>
        <row r="69">
          <cell r="F69" t="str" vm="59">
            <v>Bullet</v>
          </cell>
        </row>
        <row r="70">
          <cell r="F70" t="str" vm="60">
            <v>&lt;12m</v>
          </cell>
        </row>
        <row r="71">
          <cell r="F71" t="str" vm="61">
            <v>&gt;=12-&lt;24m</v>
          </cell>
        </row>
        <row r="72">
          <cell r="F72" t="str" vm="62">
            <v>&gt;=24-&lt;36m</v>
          </cell>
        </row>
        <row r="73">
          <cell r="F73" t="str" vm="63">
            <v>&gt;=36-&lt;60m</v>
          </cell>
        </row>
        <row r="74">
          <cell r="F74" t="str" vm="64">
            <v>&gt;=60m</v>
          </cell>
        </row>
        <row r="76">
          <cell r="F76" t="str" vm="65">
            <v>Agricultural</v>
          </cell>
        </row>
        <row r="77">
          <cell r="F77" t="str" vm="66">
            <v>Buy-to-let/Non-owner occupied</v>
          </cell>
        </row>
        <row r="79">
          <cell r="F79" t="str" vm="67">
            <v>Owner occupied</v>
          </cell>
        </row>
        <row r="80">
          <cell r="F80" t="str" vm="68">
            <v>Second home/Holiday houses</v>
          </cell>
        </row>
        <row r="81">
          <cell r="F81" t="str" vm="69">
            <v>&lt;100.000</v>
          </cell>
        </row>
        <row r="82">
          <cell r="F82" t="str" vm="70">
            <v>&gt;=100.000-&lt;300.000</v>
          </cell>
        </row>
        <row r="83">
          <cell r="F83" t="str" vm="71">
            <v>&gt;=300.000-&lt;500.000</v>
          </cell>
        </row>
        <row r="84">
          <cell r="F84" t="str" vm="72">
            <v>&gt;=500.000-&lt;1.000.000</v>
          </cell>
        </row>
        <row r="85">
          <cell r="F85" t="str" vm="73">
            <v>&gt;=1.000.000-&lt;5.000.000</v>
          </cell>
        </row>
        <row r="86">
          <cell r="F86" t="str" vm="74">
            <v>&gt;=5.000.000</v>
          </cell>
        </row>
        <row r="87">
          <cell r="F87" t="str" vm="75">
            <v>&gt;0-&lt;=40%</v>
          </cell>
        </row>
        <row r="88">
          <cell r="F88" t="str" vm="76">
            <v>&gt;40-&lt;=50%</v>
          </cell>
        </row>
        <row r="89">
          <cell r="F89" t="str" vm="77">
            <v>&gt;50-&lt;=60%</v>
          </cell>
        </row>
        <row r="90">
          <cell r="F90" t="str" vm="78">
            <v>&gt;60-&lt;=70%</v>
          </cell>
        </row>
        <row r="91">
          <cell r="F91" t="str" vm="79">
            <v>&gt;70-&lt;=80%</v>
          </cell>
        </row>
        <row r="92">
          <cell r="F92" t="str" vm="80">
            <v>&gt;80-&lt;=90%</v>
          </cell>
        </row>
        <row r="93">
          <cell r="F93" t="str" vm="81">
            <v>&gt;90-&lt;=100%</v>
          </cell>
        </row>
        <row r="94">
          <cell r="F94" t="str" vm="82">
            <v>&gt;100%</v>
          </cell>
        </row>
        <row r="95">
          <cell r="F95" t="str" vm="83">
            <v>&lt;100.000</v>
          </cell>
        </row>
        <row r="96">
          <cell r="F96" t="str" vm="84">
            <v>&gt;=100.000-&lt;300.000</v>
          </cell>
        </row>
        <row r="97">
          <cell r="F97" t="str" vm="85">
            <v>&gt;=300.000-&lt;500.000</v>
          </cell>
        </row>
        <row r="98">
          <cell r="F98" t="str" vm="86">
            <v>&gt;=500.000-&lt;1.000.000</v>
          </cell>
        </row>
        <row r="99">
          <cell r="F99" t="str" vm="87">
            <v>&gt;=1.000.000-&lt;5.000.000</v>
          </cell>
        </row>
        <row r="100">
          <cell r="F100" t="str" vm="88">
            <v>&gt;=5.000.000</v>
          </cell>
        </row>
        <row r="105">
          <cell r="F105" t="str" vm="89">
            <v>BUN</v>
          </cell>
        </row>
        <row r="107">
          <cell r="F107" t="str" vm="90">
            <v>GEM</v>
          </cell>
        </row>
        <row r="108">
          <cell r="F108" t="str" vm="91">
            <v>LAN</v>
          </cell>
        </row>
        <row r="111">
          <cell r="F111" t="str" vm="92">
            <v>Amortising</v>
          </cell>
        </row>
        <row r="112">
          <cell r="F112" t="str" vm="93">
            <v>Bullet</v>
          </cell>
        </row>
        <row r="113">
          <cell r="F113" t="str" vm="94">
            <v>(Leer)</v>
          </cell>
        </row>
        <row r="114">
          <cell r="F114" t="str" vm="95">
            <v>F</v>
          </cell>
        </row>
        <row r="115">
          <cell r="F115" t="str" vm="96">
            <v>V</v>
          </cell>
        </row>
        <row r="126">
          <cell r="F126" t="str" vm="97">
            <v>Anzahl von KONTONUMMER 2</v>
          </cell>
        </row>
        <row r="127">
          <cell r="F127" t="str" vm="98">
            <v>COM</v>
          </cell>
        </row>
        <row r="128">
          <cell r="F128" t="str" vm="99">
            <v>RES</v>
          </cell>
        </row>
        <row r="129">
          <cell r="F129" t="str" vm="100">
            <v>Summe von gewichtet LTV</v>
          </cell>
        </row>
        <row r="133">
          <cell r="F133" t="str" vm="101">
            <v>Summe von Rlfzt_gewichtet_public</v>
          </cell>
        </row>
        <row r="134">
          <cell r="F134" t="str" vm="102">
            <v>Summe von Rlfzt_gewichtet_Mortgage</v>
          </cell>
        </row>
        <row r="135">
          <cell r="F135" t="str" vm="103">
            <v>Summe von gewichtet_Restlaufzeit_bonds</v>
          </cell>
        </row>
        <row r="147">
          <cell r="F147" t="str" vm="104">
            <v>Netherlands</v>
          </cell>
        </row>
        <row r="151">
          <cell r="F151" t="str" vm="105">
            <v>DE</v>
          </cell>
        </row>
        <row r="152">
          <cell r="F152" t="str" vm="44">
            <v>COM</v>
          </cell>
        </row>
        <row r="154">
          <cell r="F154" t="str" vm="106">
            <v>RES</v>
          </cell>
        </row>
        <row r="155">
          <cell r="F155" t="str" vm="107">
            <v>WBG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ront Page"/>
      <sheetName val="Definitions"/>
      <sheetName val="CB Programme Overview"/>
      <sheetName val="Over-Collateralisation"/>
      <sheetName val="Residential"/>
      <sheetName val="Commercial Stratified"/>
      <sheetName val="Commercial LbyL"/>
      <sheetName val="Chart1"/>
      <sheetName val="Commercial PbyP"/>
      <sheetName val="PublicSector"/>
      <sheetName val="Substitute Collateral"/>
      <sheetName val="Hedging (1)"/>
      <sheetName val="Hedging (2)"/>
      <sheetName val="Hedging (3)"/>
      <sheetName val="Hedging (4)"/>
      <sheetName val="Lists"/>
      <sheetName val="Language"/>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row r="35">
          <cell r="K35" t="str">
            <v>Direct claim against supranational</v>
          </cell>
        </row>
        <row r="36">
          <cell r="K36" t="str">
            <v>Direct claim against sovereign</v>
          </cell>
        </row>
        <row r="37">
          <cell r="K37" t="str">
            <v>Loan with guarantee of sovereign</v>
          </cell>
        </row>
        <row r="38">
          <cell r="K38" t="str">
            <v>Direct claim against region/federal state</v>
          </cell>
        </row>
        <row r="39">
          <cell r="K39" t="str">
            <v>Loan with guarantee of region/federal state</v>
          </cell>
        </row>
        <row r="40">
          <cell r="K40" t="str">
            <v>Direct claim against municipality</v>
          </cell>
        </row>
        <row r="41">
          <cell r="K41" t="str">
            <v>Loan with guarantee of municipality</v>
          </cell>
        </row>
        <row r="42">
          <cell r="K42" t="str">
            <v>Others</v>
          </cell>
        </row>
      </sheetData>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uri=CELEX:32013R0575" TargetMode="External"/><Relationship Id="rId2" Type="http://schemas.openxmlformats.org/officeDocument/2006/relationships/hyperlink" Target="https://eur-lex.europa.eu/legal-content/EN/TXT/?uri=CELEX:32019L2162" TargetMode="External"/><Relationship Id="rId1" Type="http://schemas.openxmlformats.org/officeDocument/2006/relationships/hyperlink" Target="https://www.bawaggroup.com/" TargetMode="External"/><Relationship Id="rId6" Type="http://schemas.openxmlformats.org/officeDocument/2006/relationships/printerSettings" Target="../printerSettings/printerSettings2.bin"/><Relationship Id="rId5" Type="http://schemas.openxmlformats.org/officeDocument/2006/relationships/hyperlink" Target="https://www.bawaggroup.com/BAWAGGROUP/IR/EN/ESG" TargetMode="External"/><Relationship Id="rId4" Type="http://schemas.openxmlformats.org/officeDocument/2006/relationships/hyperlink" Target="https://www.bawaggroup.com/en/investor-relations/debt-investor/fundings/covered-bonds/mortgage-covere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0.bin"/><Relationship Id="rId7" Type="http://schemas.openxmlformats.org/officeDocument/2006/relationships/image" Target="../media/image1.emf"/><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M23"/>
  <sheetViews>
    <sheetView showGridLines="0" workbookViewId="0">
      <selection activeCell="J13" sqref="J13"/>
    </sheetView>
  </sheetViews>
  <sheetFormatPr defaultColWidth="9.140625" defaultRowHeight="12.75"/>
  <cols>
    <col min="1" max="5" width="9.140625" style="286"/>
    <col min="6" max="6" width="49.42578125" style="286" bestFit="1" customWidth="1"/>
    <col min="7" max="16384" width="9.140625" style="286"/>
  </cols>
  <sheetData>
    <row r="1" spans="1:13">
      <c r="A1" s="284"/>
      <c r="B1" s="285"/>
      <c r="C1" s="285"/>
      <c r="D1" s="285"/>
      <c r="E1" s="285"/>
      <c r="F1" s="285"/>
      <c r="G1" s="285"/>
      <c r="H1" s="285"/>
      <c r="I1" s="285"/>
      <c r="J1" s="285"/>
      <c r="K1" s="285"/>
      <c r="L1" s="285"/>
      <c r="M1" s="285"/>
    </row>
    <row r="2" spans="1:13">
      <c r="A2" s="285"/>
      <c r="B2" s="285"/>
      <c r="C2" s="285"/>
      <c r="D2" s="285"/>
      <c r="E2" s="285"/>
      <c r="F2" s="285"/>
      <c r="G2" s="285"/>
      <c r="H2" s="285"/>
      <c r="I2" s="285"/>
      <c r="J2" s="285"/>
      <c r="K2" s="285"/>
      <c r="L2" s="285"/>
      <c r="M2" s="285"/>
    </row>
    <row r="3" spans="1:13" ht="26.25">
      <c r="A3" s="287"/>
      <c r="B3" s="285"/>
      <c r="C3" s="285"/>
      <c r="D3" s="285"/>
      <c r="E3" s="285"/>
      <c r="F3" s="285"/>
      <c r="G3" s="285"/>
      <c r="H3" s="285"/>
      <c r="I3" s="285"/>
      <c r="J3" s="285"/>
      <c r="K3" s="285"/>
      <c r="L3" s="285"/>
      <c r="M3" s="285"/>
    </row>
    <row r="4" spans="1:13" ht="26.25">
      <c r="A4" s="287"/>
      <c r="B4" s="285"/>
      <c r="C4" s="285"/>
      <c r="D4" s="285"/>
      <c r="E4" s="285"/>
      <c r="F4" s="285"/>
      <c r="G4" s="285"/>
      <c r="H4" s="285"/>
      <c r="I4" s="285"/>
      <c r="J4" s="285"/>
      <c r="K4" s="285"/>
      <c r="L4" s="285"/>
      <c r="M4" s="285"/>
    </row>
    <row r="5" spans="1:13" ht="26.25">
      <c r="A5" s="287"/>
      <c r="B5" s="285"/>
      <c r="C5" s="285"/>
      <c r="D5" s="285"/>
      <c r="E5" s="285"/>
      <c r="F5" s="285"/>
      <c r="G5" s="285"/>
      <c r="H5" s="285"/>
      <c r="I5" s="285"/>
      <c r="J5" s="285"/>
      <c r="K5" s="285"/>
      <c r="L5" s="285"/>
      <c r="M5" s="285"/>
    </row>
    <row r="6" spans="1:13" ht="26.25">
      <c r="A6" s="287" t="s">
        <v>0</v>
      </c>
      <c r="B6" s="285"/>
      <c r="C6" s="285"/>
      <c r="D6" s="285"/>
      <c r="E6" s="285"/>
      <c r="F6" s="285"/>
      <c r="G6" s="285"/>
      <c r="H6" s="285"/>
      <c r="I6" s="285"/>
      <c r="J6" s="285"/>
      <c r="K6" s="285"/>
      <c r="L6" s="285"/>
      <c r="M6" s="285"/>
    </row>
    <row r="7" spans="1:13" ht="26.25">
      <c r="A7" s="287"/>
      <c r="B7" s="285"/>
      <c r="C7" s="285"/>
      <c r="D7" s="285"/>
      <c r="E7" s="285"/>
      <c r="F7" s="288"/>
      <c r="G7" s="285"/>
      <c r="H7" s="285"/>
      <c r="I7" s="285"/>
      <c r="J7" s="285"/>
      <c r="K7" s="285"/>
      <c r="L7" s="285"/>
      <c r="M7" s="285"/>
    </row>
    <row r="8" spans="1:13" ht="13.5">
      <c r="A8" s="289"/>
      <c r="B8" s="285"/>
      <c r="C8" s="285"/>
      <c r="D8" s="285"/>
      <c r="E8" s="290" t="s">
        <v>1</v>
      </c>
      <c r="F8" s="288">
        <v>4</v>
      </c>
      <c r="G8" s="285"/>
      <c r="H8" s="285"/>
      <c r="I8" s="285"/>
      <c r="J8" s="285"/>
      <c r="K8" s="285"/>
      <c r="L8" s="285"/>
      <c r="M8" s="285"/>
    </row>
    <row r="9" spans="1:13" ht="13.5">
      <c r="A9" s="285"/>
      <c r="B9" s="285"/>
      <c r="C9" s="285"/>
      <c r="D9" s="285"/>
      <c r="E9" s="290" t="s">
        <v>2</v>
      </c>
      <c r="F9" s="291" t="s">
        <v>3</v>
      </c>
      <c r="G9" s="285"/>
      <c r="H9" s="285"/>
      <c r="I9" s="285"/>
      <c r="J9" s="285"/>
      <c r="K9" s="285"/>
      <c r="L9" s="285"/>
      <c r="M9" s="285"/>
    </row>
    <row r="10" spans="1:13" ht="13.5">
      <c r="A10" s="285"/>
      <c r="B10" s="285"/>
      <c r="C10" s="285"/>
      <c r="D10" s="285"/>
      <c r="E10" s="290" t="s">
        <v>4</v>
      </c>
      <c r="F10" s="288" t="s">
        <v>5</v>
      </c>
      <c r="G10" s="285"/>
      <c r="H10" s="285"/>
      <c r="I10" s="285"/>
      <c r="J10" s="285"/>
      <c r="K10" s="285"/>
      <c r="L10" s="285"/>
      <c r="M10" s="285"/>
    </row>
    <row r="11" spans="1:13" ht="13.5">
      <c r="A11" s="285"/>
      <c r="B11" s="285"/>
      <c r="C11" s="285"/>
      <c r="D11" s="285"/>
      <c r="E11" s="290" t="s">
        <v>6</v>
      </c>
      <c r="F11" s="288">
        <v>12</v>
      </c>
      <c r="G11" s="285"/>
      <c r="H11" s="285"/>
      <c r="I11" s="285"/>
      <c r="J11" s="285"/>
      <c r="K11" s="285"/>
      <c r="L11" s="285"/>
      <c r="M11" s="285"/>
    </row>
    <row r="12" spans="1:13" ht="13.5">
      <c r="A12" s="285"/>
      <c r="B12" s="285"/>
      <c r="C12" s="285"/>
      <c r="D12" s="285"/>
      <c r="E12" s="290"/>
      <c r="F12" s="288"/>
      <c r="G12" s="285"/>
      <c r="H12" s="285"/>
      <c r="I12" s="285"/>
      <c r="J12" s="285"/>
      <c r="K12" s="285"/>
      <c r="L12" s="285"/>
      <c r="M12" s="285"/>
    </row>
    <row r="13" spans="1:13" ht="13.5">
      <c r="A13" s="285"/>
      <c r="B13" s="285"/>
      <c r="C13" s="285"/>
      <c r="D13" s="285"/>
      <c r="E13" s="290" t="s">
        <v>7</v>
      </c>
      <c r="F13" s="288" t="s">
        <v>8</v>
      </c>
      <c r="G13" s="285"/>
      <c r="H13" s="285"/>
      <c r="I13" s="285"/>
      <c r="J13" s="285"/>
      <c r="K13" s="285"/>
      <c r="L13" s="285"/>
      <c r="M13" s="285"/>
    </row>
    <row r="14" spans="1:13" ht="13.5">
      <c r="A14" s="285"/>
      <c r="B14" s="285"/>
      <c r="C14" s="285"/>
      <c r="D14" s="285"/>
      <c r="E14" s="292"/>
      <c r="F14" s="293" t="s">
        <v>9</v>
      </c>
      <c r="G14" s="285"/>
      <c r="H14" s="285"/>
      <c r="I14" s="285"/>
      <c r="J14" s="285"/>
      <c r="K14" s="285"/>
      <c r="L14" s="285"/>
      <c r="M14" s="285"/>
    </row>
    <row r="15" spans="1:13" ht="13.5">
      <c r="A15" s="285"/>
      <c r="B15" s="285"/>
      <c r="C15" s="285"/>
      <c r="D15" s="285"/>
      <c r="E15" s="294" t="s">
        <v>10</v>
      </c>
      <c r="F15" s="285"/>
      <c r="G15" s="285"/>
      <c r="H15" s="285"/>
      <c r="I15" s="285"/>
      <c r="J15" s="285"/>
      <c r="K15" s="285"/>
      <c r="L15" s="285"/>
      <c r="M15" s="285"/>
    </row>
    <row r="16" spans="1:13">
      <c r="A16" s="285"/>
      <c r="B16" s="285"/>
      <c r="C16" s="285"/>
      <c r="D16" s="285"/>
      <c r="E16" s="285"/>
      <c r="F16" s="285"/>
      <c r="G16" s="285"/>
      <c r="H16" s="285"/>
      <c r="I16" s="285"/>
      <c r="J16" s="285"/>
      <c r="K16" s="285"/>
      <c r="L16" s="285"/>
      <c r="M16" s="285"/>
    </row>
    <row r="17" spans="1:13" ht="18.75">
      <c r="A17" s="295" t="s">
        <v>11</v>
      </c>
      <c r="B17" s="285"/>
      <c r="C17" s="285"/>
      <c r="D17" s="285"/>
      <c r="E17" s="285"/>
      <c r="F17" s="285"/>
      <c r="G17" s="285"/>
      <c r="H17" s="285"/>
      <c r="I17" s="285"/>
      <c r="J17" s="285"/>
      <c r="K17" s="285"/>
      <c r="L17" s="285"/>
      <c r="M17" s="285"/>
    </row>
    <row r="18" spans="1:13" ht="15">
      <c r="A18" s="296" t="s">
        <v>12</v>
      </c>
      <c r="B18" s="285"/>
      <c r="C18" s="285"/>
      <c r="D18" s="285"/>
      <c r="E18" s="285"/>
      <c r="F18" s="285"/>
      <c r="G18" s="285"/>
      <c r="H18" s="285"/>
      <c r="I18" s="285"/>
      <c r="J18" s="285"/>
      <c r="K18" s="285"/>
      <c r="L18" s="285"/>
      <c r="M18" s="285"/>
    </row>
    <row r="19" spans="1:13">
      <c r="A19" s="285"/>
      <c r="B19" s="285"/>
      <c r="C19" s="285"/>
      <c r="D19" s="285"/>
      <c r="E19" s="285"/>
      <c r="F19" s="285"/>
      <c r="G19" s="285"/>
      <c r="H19" s="285"/>
      <c r="I19" s="285"/>
      <c r="J19" s="285"/>
      <c r="K19" s="285"/>
      <c r="L19" s="285"/>
      <c r="M19" s="285"/>
    </row>
    <row r="20" spans="1:13">
      <c r="A20" s="285"/>
      <c r="B20" s="285"/>
      <c r="C20" s="285"/>
      <c r="D20" s="285"/>
      <c r="E20" s="285"/>
      <c r="F20" s="285"/>
      <c r="G20" s="285"/>
      <c r="H20" s="285"/>
      <c r="I20" s="285"/>
      <c r="J20" s="285"/>
      <c r="K20" s="285"/>
      <c r="L20" s="285"/>
      <c r="M20" s="285"/>
    </row>
    <row r="21" spans="1:13">
      <c r="A21" s="285"/>
      <c r="B21" s="285"/>
      <c r="C21" s="285"/>
      <c r="D21" s="285"/>
      <c r="E21" s="285"/>
      <c r="F21" s="285"/>
      <c r="G21" s="285"/>
      <c r="H21" s="285"/>
      <c r="I21" s="285"/>
      <c r="J21" s="285"/>
      <c r="K21" s="285"/>
      <c r="L21" s="285"/>
      <c r="M21" s="285"/>
    </row>
    <row r="22" spans="1:13">
      <c r="A22" s="285"/>
      <c r="B22" s="285"/>
      <c r="C22" s="285"/>
      <c r="D22" s="285"/>
      <c r="E22" s="285"/>
      <c r="F22" s="285"/>
      <c r="G22" s="285"/>
      <c r="H22" s="285"/>
      <c r="I22" s="285"/>
      <c r="J22" s="285"/>
      <c r="K22" s="285"/>
      <c r="L22" s="285"/>
      <c r="M22" s="285"/>
    </row>
    <row r="23" spans="1:13">
      <c r="A23" s="285"/>
      <c r="B23" s="285"/>
      <c r="C23" s="285"/>
      <c r="D23" s="285"/>
      <c r="E23" s="285"/>
      <c r="F23" s="285"/>
      <c r="G23" s="285"/>
      <c r="H23" s="285"/>
      <c r="I23" s="285"/>
      <c r="J23" s="285"/>
      <c r="K23" s="285"/>
      <c r="L23" s="285"/>
      <c r="M23" s="285"/>
    </row>
  </sheetData>
  <customSheetViews>
    <customSheetView guid="{51EFF3A7-EBAD-4444-AC2F-4C032192BE96}" showGridLines="0" state="hidden">
      <selection activeCell="J13" sqref="J13"/>
      <pageMargins left="0" right="0" top="0" bottom="0" header="0" footer="0"/>
    </customSheetView>
  </customSheetView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EEF7-2A38-4431-884D-3878647ABBC8}">
  <sheetPr codeName="Tabelle4">
    <tabColor theme="3" tint="0.39997558519241921"/>
  </sheetPr>
  <dimension ref="A1:K412"/>
  <sheetViews>
    <sheetView topLeftCell="A8" workbookViewId="0">
      <selection activeCell="C179" sqref="C179"/>
    </sheetView>
  </sheetViews>
  <sheetFormatPr defaultColWidth="11.5703125" defaultRowHeight="15"/>
  <cols>
    <col min="1" max="1" width="13.28515625" style="412" customWidth="1"/>
    <col min="2" max="2" width="60.7109375" style="412" customWidth="1"/>
    <col min="3" max="3" width="51.85546875" style="412" customWidth="1"/>
    <col min="4" max="4" width="35.140625" style="412" bestFit="1" customWidth="1"/>
    <col min="5" max="5" width="8" style="412" customWidth="1"/>
    <col min="6" max="6" width="41.7109375" style="412" customWidth="1"/>
    <col min="7" max="7" width="41.7109375" style="405" customWidth="1"/>
    <col min="8" max="9" width="11.5703125" style="407"/>
    <col min="10" max="10" width="43.42578125" style="407" bestFit="1" customWidth="1"/>
    <col min="11" max="16384" width="11.5703125" style="407"/>
  </cols>
  <sheetData>
    <row r="1" spans="1:7" ht="31.5">
      <c r="A1" s="404" t="s">
        <v>30</v>
      </c>
      <c r="B1" s="404"/>
      <c r="C1" s="405"/>
      <c r="D1" s="405"/>
      <c r="E1" s="405"/>
      <c r="F1" s="406"/>
    </row>
    <row r="2" spans="1:7" ht="15.75" thickBot="1">
      <c r="A2" s="405"/>
      <c r="B2" s="408"/>
      <c r="C2" s="408"/>
      <c r="D2" s="405"/>
      <c r="E2" s="405"/>
      <c r="F2" s="405"/>
    </row>
    <row r="3" spans="1:7" ht="19.5" thickBot="1">
      <c r="A3" s="409"/>
      <c r="B3" s="410" t="s">
        <v>31</v>
      </c>
      <c r="C3" s="411" t="s">
        <v>32</v>
      </c>
      <c r="D3" s="409"/>
      <c r="E3" s="409"/>
      <c r="F3" s="405"/>
      <c r="G3" s="409"/>
    </row>
    <row r="4" spans="1:7" ht="15.75" thickBot="1"/>
    <row r="5" spans="1:7" ht="18.75">
      <c r="A5" s="413"/>
      <c r="B5" s="414" t="s">
        <v>33</v>
      </c>
      <c r="C5" s="413"/>
      <c r="E5" s="415"/>
      <c r="F5" s="415"/>
    </row>
    <row r="6" spans="1:7">
      <c r="B6" s="416" t="s">
        <v>34</v>
      </c>
    </row>
    <row r="7" spans="1:7">
      <c r="B7" s="417" t="s">
        <v>35</v>
      </c>
    </row>
    <row r="8" spans="1:7">
      <c r="B8" s="417" t="s">
        <v>36</v>
      </c>
      <c r="F8" s="412" t="s">
        <v>37</v>
      </c>
    </row>
    <row r="9" spans="1:7">
      <c r="B9" s="416" t="s">
        <v>38</v>
      </c>
    </row>
    <row r="10" spans="1:7">
      <c r="B10" s="416" t="s">
        <v>39</v>
      </c>
    </row>
    <row r="11" spans="1:7" ht="15.75" thickBot="1">
      <c r="B11" s="418" t="s">
        <v>40</v>
      </c>
    </row>
    <row r="12" spans="1:7">
      <c r="B12" s="419"/>
    </row>
    <row r="13" spans="1:7" ht="37.5">
      <c r="A13" s="420" t="s">
        <v>41</v>
      </c>
      <c r="B13" s="420" t="s">
        <v>34</v>
      </c>
      <c r="C13" s="421"/>
      <c r="D13" s="421"/>
      <c r="E13" s="421"/>
      <c r="F13" s="421"/>
      <c r="G13" s="422"/>
    </row>
    <row r="14" spans="1:7">
      <c r="A14" s="405" t="s">
        <v>42</v>
      </c>
      <c r="B14" s="423" t="s">
        <v>43</v>
      </c>
      <c r="C14" s="405" t="s">
        <v>44</v>
      </c>
      <c r="D14" s="405"/>
      <c r="E14" s="424"/>
      <c r="F14" s="424"/>
    </row>
    <row r="15" spans="1:7">
      <c r="A15" s="405" t="s">
        <v>45</v>
      </c>
      <c r="B15" s="423" t="s">
        <v>46</v>
      </c>
      <c r="C15" s="405" t="s">
        <v>47</v>
      </c>
      <c r="D15" s="405"/>
      <c r="E15" s="424"/>
      <c r="F15" s="424"/>
    </row>
    <row r="16" spans="1:7">
      <c r="A16" s="405" t="s">
        <v>48</v>
      </c>
      <c r="B16" s="423" t="s">
        <v>49</v>
      </c>
      <c r="C16" s="425" t="s">
        <v>50</v>
      </c>
      <c r="E16" s="415"/>
      <c r="F16" s="415"/>
    </row>
    <row r="17" spans="1:7">
      <c r="A17" s="405" t="s">
        <v>51</v>
      </c>
      <c r="B17" s="423" t="s">
        <v>52</v>
      </c>
      <c r="C17" s="527">
        <v>45747</v>
      </c>
      <c r="E17" s="415"/>
      <c r="F17" s="415"/>
    </row>
    <row r="18" spans="1:7">
      <c r="A18" s="405" t="s">
        <v>53</v>
      </c>
      <c r="B18" s="426" t="s">
        <v>54</v>
      </c>
      <c r="E18" s="415"/>
      <c r="F18" s="415"/>
    </row>
    <row r="19" spans="1:7">
      <c r="A19" s="405" t="s">
        <v>55</v>
      </c>
      <c r="B19" s="426" t="s">
        <v>56</v>
      </c>
      <c r="E19" s="415"/>
      <c r="F19" s="415"/>
    </row>
    <row r="20" spans="1:7">
      <c r="A20" s="405" t="s">
        <v>57</v>
      </c>
      <c r="B20" s="427"/>
      <c r="E20" s="415"/>
      <c r="F20" s="415"/>
    </row>
    <row r="21" spans="1:7">
      <c r="A21" s="405" t="s">
        <v>58</v>
      </c>
      <c r="B21" s="427"/>
      <c r="E21" s="415"/>
      <c r="F21" s="415"/>
    </row>
    <row r="22" spans="1:7">
      <c r="A22" s="405" t="s">
        <v>59</v>
      </c>
      <c r="B22" s="427"/>
      <c r="E22" s="415"/>
      <c r="F22" s="415"/>
    </row>
    <row r="23" spans="1:7">
      <c r="A23" s="405" t="s">
        <v>60</v>
      </c>
      <c r="B23" s="427"/>
      <c r="E23" s="415"/>
      <c r="F23" s="415"/>
    </row>
    <row r="24" spans="1:7">
      <c r="A24" s="405" t="s">
        <v>61</v>
      </c>
      <c r="B24" s="427"/>
      <c r="E24" s="415"/>
      <c r="F24" s="415"/>
    </row>
    <row r="25" spans="1:7">
      <c r="A25" s="405" t="s">
        <v>62</v>
      </c>
      <c r="B25" s="427"/>
      <c r="E25" s="415"/>
      <c r="F25" s="415"/>
    </row>
    <row r="26" spans="1:7" ht="18.75">
      <c r="A26" s="421"/>
      <c r="B26" s="420" t="s">
        <v>35</v>
      </c>
      <c r="C26" s="421"/>
      <c r="D26" s="421"/>
      <c r="E26" s="421"/>
      <c r="F26" s="421"/>
      <c r="G26" s="422"/>
    </row>
    <row r="27" spans="1:7">
      <c r="A27" s="405" t="s">
        <v>63</v>
      </c>
      <c r="B27" s="428" t="s">
        <v>64</v>
      </c>
      <c r="C27" s="428" t="s">
        <v>65</v>
      </c>
      <c r="D27" s="429"/>
      <c r="E27" s="429"/>
      <c r="F27" s="429"/>
    </row>
    <row r="28" spans="1:7">
      <c r="A28" s="405" t="s">
        <v>66</v>
      </c>
      <c r="B28" s="419" t="s">
        <v>67</v>
      </c>
      <c r="C28" s="428" t="s">
        <v>65</v>
      </c>
      <c r="D28" s="429"/>
      <c r="E28" s="429"/>
      <c r="F28" s="429"/>
    </row>
    <row r="29" spans="1:7">
      <c r="A29" s="405" t="s">
        <v>68</v>
      </c>
      <c r="B29" s="419" t="s">
        <v>69</v>
      </c>
      <c r="C29" s="405" t="s">
        <v>65</v>
      </c>
      <c r="E29" s="429"/>
      <c r="F29" s="429"/>
    </row>
    <row r="30" spans="1:7">
      <c r="A30" s="405" t="s">
        <v>70</v>
      </c>
      <c r="B30" s="428" t="s">
        <v>71</v>
      </c>
      <c r="C30" s="536" t="s">
        <v>4676</v>
      </c>
      <c r="E30" s="429"/>
      <c r="F30" s="429"/>
    </row>
    <row r="31" spans="1:7">
      <c r="A31" s="405" t="s">
        <v>72</v>
      </c>
      <c r="B31" s="431"/>
      <c r="E31" s="429"/>
      <c r="F31" s="429"/>
    </row>
    <row r="32" spans="1:7">
      <c r="A32" s="405" t="s">
        <v>73</v>
      </c>
      <c r="B32" s="431"/>
      <c r="E32" s="429"/>
      <c r="F32" s="429"/>
    </row>
    <row r="33" spans="1:11">
      <c r="A33" s="405" t="s">
        <v>74</v>
      </c>
      <c r="B33" s="431"/>
      <c r="E33" s="429"/>
      <c r="F33" s="429"/>
    </row>
    <row r="34" spans="1:11">
      <c r="A34" s="405" t="s">
        <v>75</v>
      </c>
      <c r="B34" s="431"/>
      <c r="E34" s="429"/>
      <c r="F34" s="429"/>
    </row>
    <row r="35" spans="1:11">
      <c r="A35" s="405" t="s">
        <v>76</v>
      </c>
      <c r="B35" s="432"/>
      <c r="E35" s="429"/>
      <c r="F35" s="429"/>
    </row>
    <row r="36" spans="1:11" ht="18.75">
      <c r="A36" s="420"/>
      <c r="B36" s="420" t="s">
        <v>36</v>
      </c>
      <c r="C36" s="420"/>
      <c r="D36" s="421"/>
      <c r="E36" s="421"/>
      <c r="F36" s="421"/>
      <c r="G36" s="422"/>
    </row>
    <row r="37" spans="1:11">
      <c r="A37" s="433"/>
      <c r="B37" s="434" t="s">
        <v>77</v>
      </c>
      <c r="C37" s="433" t="s">
        <v>78</v>
      </c>
      <c r="D37" s="435"/>
      <c r="E37" s="435"/>
      <c r="F37" s="435"/>
      <c r="G37" s="436"/>
    </row>
    <row r="38" spans="1:11">
      <c r="A38" s="405" t="s">
        <v>79</v>
      </c>
      <c r="B38" s="428" t="s">
        <v>14</v>
      </c>
      <c r="C38" s="515">
        <v>11248538224.93</v>
      </c>
      <c r="D38" s="405"/>
      <c r="E38" s="405"/>
      <c r="F38" s="428"/>
    </row>
    <row r="39" spans="1:11">
      <c r="A39" s="405" t="s">
        <v>80</v>
      </c>
      <c r="B39" s="428" t="s">
        <v>15</v>
      </c>
      <c r="C39" s="515">
        <v>10352544858.4</v>
      </c>
      <c r="D39" s="405"/>
      <c r="E39" s="405"/>
      <c r="F39" s="428"/>
    </row>
    <row r="40" spans="1:11">
      <c r="A40" s="405" t="s">
        <v>81</v>
      </c>
      <c r="B40" s="438" t="s">
        <v>82</v>
      </c>
      <c r="C40" s="439" t="s">
        <v>83</v>
      </c>
      <c r="D40" s="405"/>
      <c r="E40" s="405"/>
      <c r="F40" s="428"/>
    </row>
    <row r="41" spans="1:11">
      <c r="A41" s="405" t="s">
        <v>84</v>
      </c>
      <c r="B41" s="438" t="s">
        <v>85</v>
      </c>
      <c r="C41" s="439" t="s">
        <v>83</v>
      </c>
      <c r="D41" s="405"/>
      <c r="E41" s="405"/>
      <c r="F41" s="428"/>
    </row>
    <row r="42" spans="1:11">
      <c r="A42" s="405" t="s">
        <v>86</v>
      </c>
      <c r="B42" s="428" t="s">
        <v>16</v>
      </c>
      <c r="C42" s="437">
        <v>10609595755.567999</v>
      </c>
      <c r="D42" s="440"/>
      <c r="E42" s="405"/>
      <c r="F42" s="428"/>
    </row>
    <row r="43" spans="1:11">
      <c r="A43" s="405" t="s">
        <v>87</v>
      </c>
      <c r="B43" s="428" t="s">
        <v>88</v>
      </c>
      <c r="C43" s="405" t="s">
        <v>83</v>
      </c>
      <c r="D43" s="405"/>
      <c r="E43" s="405"/>
      <c r="F43" s="428"/>
    </row>
    <row r="44" spans="1:11">
      <c r="A44" s="433"/>
      <c r="B44" s="434" t="s">
        <v>89</v>
      </c>
      <c r="C44" s="441" t="s">
        <v>90</v>
      </c>
      <c r="D44" s="433" t="s">
        <v>91</v>
      </c>
      <c r="E44" s="435"/>
      <c r="F44" s="436" t="s">
        <v>92</v>
      </c>
      <c r="G44" s="436" t="s">
        <v>93</v>
      </c>
    </row>
    <row r="45" spans="1:11">
      <c r="A45" s="405" t="s">
        <v>94</v>
      </c>
      <c r="B45" s="428" t="s">
        <v>95</v>
      </c>
      <c r="C45" s="442">
        <v>0.02</v>
      </c>
      <c r="D45" s="442">
        <v>8.6548126937406655E-2</v>
      </c>
      <c r="E45" s="442"/>
      <c r="F45" s="442">
        <v>0.02</v>
      </c>
      <c r="G45" s="405" t="s">
        <v>83</v>
      </c>
    </row>
    <row r="46" spans="1:11" ht="30">
      <c r="A46" s="405" t="s">
        <v>96</v>
      </c>
      <c r="B46" s="428" t="s">
        <v>97</v>
      </c>
      <c r="C46" s="442">
        <v>2.0965946068022712E-2</v>
      </c>
      <c r="D46" s="442">
        <v>8.6548126937406655E-2</v>
      </c>
      <c r="E46" s="442"/>
      <c r="F46" s="442">
        <v>2.0965946068022712E-2</v>
      </c>
      <c r="G46" s="443" t="s">
        <v>83</v>
      </c>
      <c r="K46" s="444"/>
    </row>
    <row r="47" spans="1:11">
      <c r="A47" s="405" t="s">
        <v>98</v>
      </c>
      <c r="B47" s="426" t="s">
        <v>99</v>
      </c>
      <c r="C47" s="442"/>
      <c r="D47" s="442"/>
      <c r="E47" s="442"/>
      <c r="F47" s="442"/>
      <c r="G47" s="443"/>
      <c r="K47" s="445"/>
    </row>
    <row r="48" spans="1:11">
      <c r="A48" s="405" t="s">
        <v>100</v>
      </c>
      <c r="B48" s="426" t="s">
        <v>101</v>
      </c>
      <c r="C48" s="443"/>
      <c r="D48" s="443"/>
      <c r="E48" s="443"/>
      <c r="F48" s="443"/>
      <c r="G48" s="443"/>
    </row>
    <row r="49" spans="1:7">
      <c r="A49" s="405" t="s">
        <v>102</v>
      </c>
      <c r="B49" s="426"/>
      <c r="C49" s="443"/>
      <c r="D49" s="443"/>
      <c r="E49" s="443"/>
      <c r="F49" s="443"/>
      <c r="G49" s="443"/>
    </row>
    <row r="50" spans="1:7">
      <c r="A50" s="405" t="s">
        <v>103</v>
      </c>
      <c r="B50" s="426"/>
      <c r="C50" s="443"/>
      <c r="D50" s="443"/>
      <c r="E50" s="443"/>
      <c r="F50" s="443"/>
      <c r="G50" s="443"/>
    </row>
    <row r="51" spans="1:7">
      <c r="A51" s="405" t="s">
        <v>104</v>
      </c>
      <c r="B51" s="426"/>
      <c r="C51" s="443"/>
      <c r="D51" s="443"/>
      <c r="E51" s="443"/>
      <c r="F51" s="443"/>
      <c r="G51" s="443"/>
    </row>
    <row r="52" spans="1:7">
      <c r="A52" s="433"/>
      <c r="B52" s="434" t="s">
        <v>105</v>
      </c>
      <c r="C52" s="433" t="s">
        <v>78</v>
      </c>
      <c r="D52" s="433"/>
      <c r="E52" s="435"/>
      <c r="F52" s="436" t="s">
        <v>106</v>
      </c>
      <c r="G52" s="436"/>
    </row>
    <row r="53" spans="1:7">
      <c r="A53" s="405" t="s">
        <v>107</v>
      </c>
      <c r="B53" s="428" t="s">
        <v>108</v>
      </c>
      <c r="C53" s="515">
        <v>11248538224.93</v>
      </c>
      <c r="D53" s="514"/>
      <c r="E53" s="528"/>
      <c r="F53" s="517">
        <v>1</v>
      </c>
      <c r="G53" s="448"/>
    </row>
    <row r="54" spans="1:7">
      <c r="A54" s="405" t="s">
        <v>109</v>
      </c>
      <c r="B54" s="428" t="s">
        <v>110</v>
      </c>
      <c r="C54" s="529">
        <v>0</v>
      </c>
      <c r="D54" s="514"/>
      <c r="E54" s="528"/>
      <c r="F54" s="517">
        <v>0</v>
      </c>
      <c r="G54" s="448"/>
    </row>
    <row r="55" spans="1:7">
      <c r="A55" s="405" t="s">
        <v>111</v>
      </c>
      <c r="B55" s="428" t="s">
        <v>112</v>
      </c>
      <c r="C55" s="530">
        <v>0</v>
      </c>
      <c r="D55" s="514"/>
      <c r="E55" s="528"/>
      <c r="F55" s="517">
        <v>0</v>
      </c>
      <c r="G55" s="448"/>
    </row>
    <row r="56" spans="1:7">
      <c r="A56" s="405" t="s">
        <v>113</v>
      </c>
      <c r="B56" s="428" t="s">
        <v>114</v>
      </c>
      <c r="C56" s="530">
        <v>0</v>
      </c>
      <c r="D56" s="514"/>
      <c r="E56" s="528"/>
      <c r="F56" s="517">
        <v>0</v>
      </c>
      <c r="G56" s="448"/>
    </row>
    <row r="57" spans="1:7">
      <c r="A57" s="405" t="s">
        <v>115</v>
      </c>
      <c r="B57" s="405" t="s">
        <v>116</v>
      </c>
      <c r="C57" s="530">
        <v>0</v>
      </c>
      <c r="D57" s="514"/>
      <c r="E57" s="528"/>
      <c r="F57" s="517">
        <v>0</v>
      </c>
      <c r="G57" s="448"/>
    </row>
    <row r="58" spans="1:7">
      <c r="A58" s="405" t="s">
        <v>117</v>
      </c>
      <c r="B58" s="449" t="s">
        <v>118</v>
      </c>
      <c r="C58" s="515">
        <v>11248538224.93</v>
      </c>
      <c r="D58" s="528"/>
      <c r="E58" s="528"/>
      <c r="F58" s="517">
        <v>1</v>
      </c>
      <c r="G58" s="448"/>
    </row>
    <row r="59" spans="1:7">
      <c r="A59" s="405" t="s">
        <v>119</v>
      </c>
      <c r="B59" s="451" t="s">
        <v>120</v>
      </c>
      <c r="C59" s="439"/>
      <c r="D59" s="405"/>
      <c r="E59" s="446"/>
      <c r="F59" s="447">
        <v>0</v>
      </c>
      <c r="G59" s="448"/>
    </row>
    <row r="60" spans="1:7">
      <c r="A60" s="405" t="s">
        <v>121</v>
      </c>
      <c r="B60" s="451" t="s">
        <v>120</v>
      </c>
      <c r="C60" s="439"/>
      <c r="D60" s="405"/>
      <c r="E60" s="446"/>
      <c r="F60" s="447">
        <v>0</v>
      </c>
      <c r="G60" s="448"/>
    </row>
    <row r="61" spans="1:7">
      <c r="A61" s="405" t="s">
        <v>122</v>
      </c>
      <c r="B61" s="451" t="s">
        <v>120</v>
      </c>
      <c r="C61" s="439"/>
      <c r="D61" s="405"/>
      <c r="E61" s="446"/>
      <c r="F61" s="447">
        <v>0</v>
      </c>
      <c r="G61" s="448"/>
    </row>
    <row r="62" spans="1:7">
      <c r="A62" s="405" t="s">
        <v>123</v>
      </c>
      <c r="B62" s="451" t="s">
        <v>120</v>
      </c>
      <c r="C62" s="439"/>
      <c r="D62" s="405"/>
      <c r="E62" s="446"/>
      <c r="F62" s="447">
        <v>0</v>
      </c>
      <c r="G62" s="448"/>
    </row>
    <row r="63" spans="1:7">
      <c r="A63" s="405" t="s">
        <v>124</v>
      </c>
      <c r="B63" s="451" t="s">
        <v>120</v>
      </c>
      <c r="C63" s="439"/>
      <c r="D63" s="405"/>
      <c r="E63" s="446"/>
      <c r="F63" s="447">
        <v>0</v>
      </c>
      <c r="G63" s="448"/>
    </row>
    <row r="64" spans="1:7">
      <c r="A64" s="405" t="s">
        <v>125</v>
      </c>
      <c r="B64" s="451" t="s">
        <v>120</v>
      </c>
      <c r="C64" s="452"/>
      <c r="D64" s="453"/>
      <c r="E64" s="453"/>
      <c r="F64" s="447">
        <v>0</v>
      </c>
      <c r="G64" s="454"/>
    </row>
    <row r="65" spans="1:7">
      <c r="A65" s="436"/>
      <c r="B65" s="455" t="s">
        <v>19</v>
      </c>
      <c r="C65" s="456" t="s">
        <v>126</v>
      </c>
      <c r="D65" s="456" t="s">
        <v>127</v>
      </c>
      <c r="E65" s="457"/>
      <c r="F65" s="436" t="s">
        <v>128</v>
      </c>
      <c r="G65" s="458" t="s">
        <v>129</v>
      </c>
    </row>
    <row r="66" spans="1:7">
      <c r="A66" s="405" t="s">
        <v>130</v>
      </c>
      <c r="B66" s="428" t="s">
        <v>17</v>
      </c>
      <c r="C66" s="531">
        <v>24.504714054213252</v>
      </c>
      <c r="D66" s="459" t="s">
        <v>83</v>
      </c>
      <c r="E66" s="423"/>
      <c r="F66" s="508" t="s">
        <v>83</v>
      </c>
      <c r="G66" s="459" t="s">
        <v>83</v>
      </c>
    </row>
    <row r="67" spans="1:7">
      <c r="A67" s="405"/>
      <c r="B67" s="428"/>
      <c r="C67" s="514"/>
      <c r="D67" s="405"/>
      <c r="E67" s="423"/>
      <c r="F67" s="460"/>
    </row>
    <row r="68" spans="1:7">
      <c r="A68" s="405"/>
      <c r="B68" s="428" t="s">
        <v>18</v>
      </c>
      <c r="C68" s="521"/>
      <c r="D68" s="423"/>
      <c r="E68" s="423"/>
      <c r="F68" s="423"/>
      <c r="G68" s="423"/>
    </row>
    <row r="69" spans="1:7">
      <c r="A69" s="405"/>
      <c r="B69" s="428" t="s">
        <v>131</v>
      </c>
      <c r="C69" s="514"/>
      <c r="D69" s="405"/>
      <c r="E69" s="423"/>
      <c r="F69" s="423"/>
    </row>
    <row r="70" spans="1:7">
      <c r="A70" s="405" t="s">
        <v>132</v>
      </c>
      <c r="B70" s="428" t="s">
        <v>133</v>
      </c>
      <c r="C70" s="515">
        <v>76302804.199999958</v>
      </c>
      <c r="D70" s="439" t="s">
        <v>83</v>
      </c>
      <c r="E70" s="428"/>
      <c r="F70" s="447">
        <v>1.5515934419621985E-2</v>
      </c>
      <c r="G70" s="439" t="s">
        <v>83</v>
      </c>
    </row>
    <row r="71" spans="1:7">
      <c r="A71" s="405" t="s">
        <v>134</v>
      </c>
      <c r="B71" s="428" t="s">
        <v>135</v>
      </c>
      <c r="C71" s="515">
        <v>31548329.130000006</v>
      </c>
      <c r="D71" s="439" t="s">
        <v>83</v>
      </c>
      <c r="E71" s="428"/>
      <c r="F71" s="447">
        <v>8.5348166692830168E-3</v>
      </c>
      <c r="G71" s="439" t="s">
        <v>83</v>
      </c>
    </row>
    <row r="72" spans="1:7">
      <c r="A72" s="405" t="s">
        <v>136</v>
      </c>
      <c r="B72" s="428" t="s">
        <v>137</v>
      </c>
      <c r="C72" s="515">
        <v>35672153.68999999</v>
      </c>
      <c r="D72" s="439" t="s">
        <v>83</v>
      </c>
      <c r="E72" s="428"/>
      <c r="F72" s="447">
        <v>5.1717750809770037E-3</v>
      </c>
      <c r="G72" s="439" t="s">
        <v>83</v>
      </c>
    </row>
    <row r="73" spans="1:7">
      <c r="A73" s="405" t="s">
        <v>138</v>
      </c>
      <c r="B73" s="428" t="s">
        <v>139</v>
      </c>
      <c r="C73" s="515">
        <v>50550617.450000077</v>
      </c>
      <c r="D73" s="439" t="s">
        <v>83</v>
      </c>
      <c r="E73" s="428"/>
      <c r="F73" s="447">
        <v>5.3019912876344152E-3</v>
      </c>
      <c r="G73" s="439" t="s">
        <v>83</v>
      </c>
    </row>
    <row r="74" spans="1:7">
      <c r="A74" s="405" t="s">
        <v>140</v>
      </c>
      <c r="B74" s="428" t="s">
        <v>141</v>
      </c>
      <c r="C74" s="515">
        <v>56664430.650000021</v>
      </c>
      <c r="D74" s="439" t="s">
        <v>83</v>
      </c>
      <c r="E74" s="428"/>
      <c r="F74" s="447">
        <v>7.6365420904770907E-3</v>
      </c>
      <c r="G74" s="439" t="s">
        <v>83</v>
      </c>
    </row>
    <row r="75" spans="1:7">
      <c r="A75" s="405" t="s">
        <v>142</v>
      </c>
      <c r="B75" s="428" t="s">
        <v>143</v>
      </c>
      <c r="C75" s="515">
        <v>478165578.65999943</v>
      </c>
      <c r="D75" s="439" t="s">
        <v>83</v>
      </c>
      <c r="E75" s="428"/>
      <c r="F75" s="532">
        <v>5.734165679554503E-2</v>
      </c>
      <c r="G75" s="439" t="s">
        <v>83</v>
      </c>
    </row>
    <row r="76" spans="1:7">
      <c r="A76" s="405" t="s">
        <v>144</v>
      </c>
      <c r="B76" s="428" t="s">
        <v>145</v>
      </c>
      <c r="C76" s="515">
        <v>10519545768.51993</v>
      </c>
      <c r="D76" s="439" t="s">
        <v>83</v>
      </c>
      <c r="E76" s="428"/>
      <c r="F76" s="532">
        <v>0.90049728365646153</v>
      </c>
      <c r="G76" s="439" t="s">
        <v>83</v>
      </c>
    </row>
    <row r="77" spans="1:7">
      <c r="A77" s="405" t="s">
        <v>146</v>
      </c>
      <c r="B77" s="449" t="s">
        <v>118</v>
      </c>
      <c r="C77" s="515">
        <v>11248449682.299929</v>
      </c>
      <c r="D77" s="461">
        <v>0</v>
      </c>
      <c r="E77" s="428"/>
      <c r="F77" s="533">
        <v>1</v>
      </c>
      <c r="G77" s="461">
        <v>0</v>
      </c>
    </row>
    <row r="78" spans="1:7">
      <c r="A78" s="405" t="s">
        <v>147</v>
      </c>
      <c r="B78" s="462" t="s">
        <v>148</v>
      </c>
      <c r="C78" s="461"/>
      <c r="D78" s="461"/>
      <c r="E78" s="428"/>
      <c r="F78" s="447"/>
      <c r="G78" s="447" t="s">
        <v>149</v>
      </c>
    </row>
    <row r="79" spans="1:7">
      <c r="A79" s="405" t="s">
        <v>150</v>
      </c>
      <c r="B79" s="462" t="s">
        <v>151</v>
      </c>
      <c r="C79" s="461"/>
      <c r="D79" s="461"/>
      <c r="E79" s="428"/>
      <c r="F79" s="447"/>
      <c r="G79" s="447" t="s">
        <v>149</v>
      </c>
    </row>
    <row r="80" spans="1:7">
      <c r="A80" s="405" t="s">
        <v>152</v>
      </c>
      <c r="B80" s="462" t="s">
        <v>153</v>
      </c>
      <c r="C80" s="461"/>
      <c r="D80" s="461"/>
      <c r="E80" s="428"/>
      <c r="F80" s="447"/>
      <c r="G80" s="447" t="s">
        <v>149</v>
      </c>
    </row>
    <row r="81" spans="1:7">
      <c r="A81" s="405" t="s">
        <v>154</v>
      </c>
      <c r="B81" s="462" t="s">
        <v>155</v>
      </c>
      <c r="C81" s="461"/>
      <c r="D81" s="461"/>
      <c r="E81" s="428"/>
      <c r="F81" s="447"/>
      <c r="G81" s="447" t="s">
        <v>149</v>
      </c>
    </row>
    <row r="82" spans="1:7">
      <c r="A82" s="405" t="s">
        <v>156</v>
      </c>
      <c r="B82" s="462" t="s">
        <v>157</v>
      </c>
      <c r="C82" s="461"/>
      <c r="D82" s="461"/>
      <c r="E82" s="428"/>
      <c r="F82" s="447"/>
      <c r="G82" s="447" t="s">
        <v>149</v>
      </c>
    </row>
    <row r="83" spans="1:7">
      <c r="A83" s="405" t="s">
        <v>158</v>
      </c>
      <c r="B83" s="462"/>
      <c r="C83" s="446"/>
      <c r="D83" s="446"/>
      <c r="E83" s="428"/>
      <c r="F83" s="448"/>
      <c r="G83" s="448"/>
    </row>
    <row r="84" spans="1:7">
      <c r="A84" s="405" t="s">
        <v>159</v>
      </c>
      <c r="B84" s="462"/>
      <c r="C84" s="446"/>
      <c r="D84" s="446"/>
      <c r="E84" s="428"/>
      <c r="F84" s="448"/>
      <c r="G84" s="448"/>
    </row>
    <row r="85" spans="1:7">
      <c r="A85" s="405" t="s">
        <v>160</v>
      </c>
      <c r="B85" s="462"/>
      <c r="C85" s="446"/>
      <c r="D85" s="446"/>
      <c r="E85" s="428"/>
      <c r="F85" s="448"/>
      <c r="G85" s="448"/>
    </row>
    <row r="86" spans="1:7">
      <c r="A86" s="405" t="s">
        <v>161</v>
      </c>
      <c r="B86" s="449"/>
      <c r="C86" s="446"/>
      <c r="D86" s="446"/>
      <c r="E86" s="428"/>
      <c r="F86" s="448"/>
      <c r="G86" s="448" t="s">
        <v>149</v>
      </c>
    </row>
    <row r="87" spans="1:7">
      <c r="A87" s="405" t="s">
        <v>162</v>
      </c>
      <c r="B87" s="462"/>
      <c r="C87" s="446"/>
      <c r="D87" s="446"/>
      <c r="E87" s="428"/>
      <c r="F87" s="448"/>
      <c r="G87" s="448" t="s">
        <v>149</v>
      </c>
    </row>
    <row r="88" spans="1:7">
      <c r="A88" s="436"/>
      <c r="B88" s="455" t="s">
        <v>21</v>
      </c>
      <c r="C88" s="456" t="s">
        <v>163</v>
      </c>
      <c r="D88" s="456" t="s">
        <v>164</v>
      </c>
      <c r="E88" s="457"/>
      <c r="F88" s="436" t="s">
        <v>165</v>
      </c>
      <c r="G88" s="436" t="s">
        <v>166</v>
      </c>
    </row>
    <row r="89" spans="1:7">
      <c r="A89" s="405" t="s">
        <v>167</v>
      </c>
      <c r="B89" s="428" t="s">
        <v>168</v>
      </c>
      <c r="C89" s="531">
        <v>5.5254856990476799</v>
      </c>
      <c r="D89" s="459" t="s">
        <v>83</v>
      </c>
      <c r="E89" s="423"/>
      <c r="F89" s="460"/>
      <c r="G89" s="463"/>
    </row>
    <row r="90" spans="1:7">
      <c r="A90" s="405"/>
      <c r="B90" s="428"/>
      <c r="C90" s="459"/>
      <c r="D90" s="459"/>
      <c r="E90" s="423"/>
      <c r="F90" s="464"/>
      <c r="G90" s="463"/>
    </row>
    <row r="91" spans="1:7">
      <c r="A91" s="405"/>
      <c r="B91" s="428" t="s">
        <v>20</v>
      </c>
      <c r="C91" s="465"/>
      <c r="D91" s="465"/>
      <c r="E91" s="423"/>
      <c r="F91" s="463"/>
      <c r="G91" s="463"/>
    </row>
    <row r="92" spans="1:7">
      <c r="A92" s="405" t="s">
        <v>169</v>
      </c>
      <c r="B92" s="428" t="s">
        <v>131</v>
      </c>
      <c r="C92" s="459"/>
      <c r="D92" s="459"/>
      <c r="E92" s="423"/>
      <c r="F92" s="463"/>
      <c r="G92" s="463"/>
    </row>
    <row r="93" spans="1:7">
      <c r="A93" s="405" t="s">
        <v>170</v>
      </c>
      <c r="B93" s="428" t="s">
        <v>133</v>
      </c>
      <c r="C93" s="515">
        <v>0</v>
      </c>
      <c r="D93" s="439" t="s">
        <v>83</v>
      </c>
      <c r="E93" s="428"/>
      <c r="F93" s="447"/>
      <c r="G93" s="447" t="s">
        <v>149</v>
      </c>
    </row>
    <row r="94" spans="1:7">
      <c r="A94" s="405" t="s">
        <v>171</v>
      </c>
      <c r="B94" s="428" t="s">
        <v>135</v>
      </c>
      <c r="C94" s="515">
        <v>896889098.73000002</v>
      </c>
      <c r="D94" s="439" t="s">
        <v>83</v>
      </c>
      <c r="E94" s="428"/>
      <c r="F94" s="447"/>
      <c r="G94" s="447" t="s">
        <v>149</v>
      </c>
    </row>
    <row r="95" spans="1:7">
      <c r="A95" s="405" t="s">
        <v>172</v>
      </c>
      <c r="B95" s="428" t="s">
        <v>137</v>
      </c>
      <c r="C95" s="515">
        <v>1285647366.01</v>
      </c>
      <c r="D95" s="439" t="s">
        <v>83</v>
      </c>
      <c r="E95" s="428"/>
      <c r="F95" s="447"/>
      <c r="G95" s="447" t="s">
        <v>149</v>
      </c>
    </row>
    <row r="96" spans="1:7">
      <c r="A96" s="405" t="s">
        <v>173</v>
      </c>
      <c r="B96" s="428" t="s">
        <v>139</v>
      </c>
      <c r="C96" s="515">
        <v>1788857412.6500001</v>
      </c>
      <c r="D96" s="439" t="s">
        <v>83</v>
      </c>
      <c r="E96" s="428"/>
      <c r="F96" s="447"/>
      <c r="G96" s="447" t="s">
        <v>149</v>
      </c>
    </row>
    <row r="97" spans="1:7">
      <c r="A97" s="405" t="s">
        <v>174</v>
      </c>
      <c r="B97" s="428" t="s">
        <v>141</v>
      </c>
      <c r="C97" s="515">
        <v>1750000000</v>
      </c>
      <c r="D97" s="439" t="s">
        <v>83</v>
      </c>
      <c r="E97" s="428"/>
      <c r="F97" s="447"/>
      <c r="G97" s="447" t="s">
        <v>149</v>
      </c>
    </row>
    <row r="98" spans="1:7">
      <c r="A98" s="405" t="s">
        <v>175</v>
      </c>
      <c r="B98" s="428" t="s">
        <v>143</v>
      </c>
      <c r="C98" s="515">
        <v>3631150981.0100002</v>
      </c>
      <c r="D98" s="439" t="s">
        <v>83</v>
      </c>
      <c r="E98" s="428"/>
      <c r="F98" s="447"/>
      <c r="G98" s="447" t="s">
        <v>149</v>
      </c>
    </row>
    <row r="99" spans="1:7">
      <c r="A99" s="405" t="s">
        <v>176</v>
      </c>
      <c r="B99" s="428" t="s">
        <v>145</v>
      </c>
      <c r="C99" s="515">
        <v>1000000000</v>
      </c>
      <c r="D99" s="439" t="s">
        <v>83</v>
      </c>
      <c r="E99" s="428"/>
      <c r="F99" s="447"/>
      <c r="G99" s="447" t="s">
        <v>149</v>
      </c>
    </row>
    <row r="100" spans="1:7">
      <c r="A100" s="405" t="s">
        <v>177</v>
      </c>
      <c r="B100" s="449" t="s">
        <v>118</v>
      </c>
      <c r="C100" s="515">
        <v>10352544858.4</v>
      </c>
      <c r="D100" s="461">
        <v>0</v>
      </c>
      <c r="E100" s="428"/>
      <c r="F100" s="450">
        <v>1</v>
      </c>
      <c r="G100" s="450">
        <v>0</v>
      </c>
    </row>
    <row r="101" spans="1:7">
      <c r="A101" s="405" t="s">
        <v>178</v>
      </c>
      <c r="B101" s="462" t="s">
        <v>148</v>
      </c>
      <c r="C101" s="461"/>
      <c r="D101" s="461"/>
      <c r="E101" s="428"/>
      <c r="F101" s="447">
        <v>0</v>
      </c>
      <c r="G101" s="447" t="s">
        <v>149</v>
      </c>
    </row>
    <row r="102" spans="1:7">
      <c r="A102" s="405" t="s">
        <v>179</v>
      </c>
      <c r="B102" s="462" t="s">
        <v>151</v>
      </c>
      <c r="C102" s="461"/>
      <c r="D102" s="461"/>
      <c r="E102" s="428"/>
      <c r="F102" s="447">
        <v>0</v>
      </c>
      <c r="G102" s="447" t="s">
        <v>149</v>
      </c>
    </row>
    <row r="103" spans="1:7">
      <c r="A103" s="405" t="s">
        <v>180</v>
      </c>
      <c r="B103" s="462" t="s">
        <v>153</v>
      </c>
      <c r="C103" s="461"/>
      <c r="D103" s="461"/>
      <c r="E103" s="428"/>
      <c r="F103" s="447">
        <v>0</v>
      </c>
      <c r="G103" s="447" t="s">
        <v>149</v>
      </c>
    </row>
    <row r="104" spans="1:7">
      <c r="A104" s="405" t="s">
        <v>181</v>
      </c>
      <c r="B104" s="462" t="s">
        <v>155</v>
      </c>
      <c r="C104" s="461"/>
      <c r="D104" s="461"/>
      <c r="E104" s="428"/>
      <c r="F104" s="447">
        <v>0</v>
      </c>
      <c r="G104" s="447" t="s">
        <v>149</v>
      </c>
    </row>
    <row r="105" spans="1:7">
      <c r="A105" s="405" t="s">
        <v>182</v>
      </c>
      <c r="B105" s="462" t="s">
        <v>157</v>
      </c>
      <c r="C105" s="461"/>
      <c r="D105" s="461"/>
      <c r="E105" s="428"/>
      <c r="F105" s="447">
        <v>0</v>
      </c>
      <c r="G105" s="447" t="s">
        <v>149</v>
      </c>
    </row>
    <row r="106" spans="1:7">
      <c r="A106" s="405" t="s">
        <v>183</v>
      </c>
      <c r="B106" s="462"/>
      <c r="C106" s="446"/>
      <c r="D106" s="446"/>
      <c r="E106" s="428"/>
      <c r="F106" s="448"/>
      <c r="G106" s="448"/>
    </row>
    <row r="107" spans="1:7">
      <c r="A107" s="405" t="s">
        <v>184</v>
      </c>
      <c r="B107" s="462"/>
      <c r="C107" s="446"/>
      <c r="D107" s="446"/>
      <c r="E107" s="428"/>
      <c r="F107" s="448"/>
      <c r="G107" s="448"/>
    </row>
    <row r="108" spans="1:7">
      <c r="A108" s="405" t="s">
        <v>185</v>
      </c>
      <c r="B108" s="449"/>
      <c r="C108" s="446"/>
      <c r="D108" s="446"/>
      <c r="E108" s="428"/>
      <c r="F108" s="448"/>
      <c r="G108" s="448"/>
    </row>
    <row r="109" spans="1:7">
      <c r="A109" s="405" t="s">
        <v>186</v>
      </c>
      <c r="B109" s="462"/>
      <c r="C109" s="446"/>
      <c r="D109" s="446"/>
      <c r="E109" s="428"/>
      <c r="F109" s="448"/>
      <c r="G109" s="448"/>
    </row>
    <row r="110" spans="1:7">
      <c r="A110" s="405" t="s">
        <v>187</v>
      </c>
      <c r="B110" s="462"/>
      <c r="C110" s="446"/>
      <c r="D110" s="446"/>
      <c r="E110" s="428"/>
      <c r="F110" s="448"/>
      <c r="G110" s="448"/>
    </row>
    <row r="111" spans="1:7">
      <c r="A111" s="436"/>
      <c r="B111" s="466" t="s">
        <v>22</v>
      </c>
      <c r="C111" s="436" t="s">
        <v>188</v>
      </c>
      <c r="D111" s="436" t="s">
        <v>189</v>
      </c>
      <c r="E111" s="457"/>
      <c r="F111" s="436" t="s">
        <v>190</v>
      </c>
      <c r="G111" s="436" t="s">
        <v>191</v>
      </c>
    </row>
    <row r="112" spans="1:7">
      <c r="A112" s="405" t="s">
        <v>192</v>
      </c>
      <c r="B112" s="428" t="s">
        <v>32</v>
      </c>
      <c r="C112" s="515">
        <v>11067841576.11989</v>
      </c>
      <c r="D112" s="439" t="s">
        <v>193</v>
      </c>
      <c r="E112" s="448"/>
      <c r="F112" s="447">
        <v>0.98393598837495833</v>
      </c>
      <c r="G112" s="447" t="s">
        <v>149</v>
      </c>
    </row>
    <row r="113" spans="1:7">
      <c r="A113" s="405" t="s">
        <v>194</v>
      </c>
      <c r="B113" s="428" t="s">
        <v>195</v>
      </c>
      <c r="C113" s="515"/>
      <c r="D113" s="439" t="s">
        <v>193</v>
      </c>
      <c r="E113" s="448"/>
      <c r="F113" s="447">
        <v>0</v>
      </c>
      <c r="G113" s="447" t="s">
        <v>149</v>
      </c>
    </row>
    <row r="114" spans="1:7">
      <c r="A114" s="405" t="s">
        <v>196</v>
      </c>
      <c r="B114" s="428" t="s">
        <v>197</v>
      </c>
      <c r="C114" s="515"/>
      <c r="D114" s="439" t="s">
        <v>193</v>
      </c>
      <c r="E114" s="448"/>
      <c r="F114" s="447">
        <v>0</v>
      </c>
      <c r="G114" s="447" t="s">
        <v>149</v>
      </c>
    </row>
    <row r="115" spans="1:7">
      <c r="A115" s="405" t="s">
        <v>198</v>
      </c>
      <c r="B115" s="428" t="s">
        <v>199</v>
      </c>
      <c r="C115" s="515"/>
      <c r="D115" s="439" t="s">
        <v>193</v>
      </c>
      <c r="E115" s="448"/>
      <c r="F115" s="447">
        <v>0</v>
      </c>
      <c r="G115" s="447" t="s">
        <v>149</v>
      </c>
    </row>
    <row r="116" spans="1:7">
      <c r="A116" s="405" t="s">
        <v>200</v>
      </c>
      <c r="B116" s="428" t="s">
        <v>201</v>
      </c>
      <c r="C116" s="515">
        <v>180696648.81000006</v>
      </c>
      <c r="D116" s="439" t="s">
        <v>193</v>
      </c>
      <c r="E116" s="448"/>
      <c r="F116" s="447">
        <v>1.6064011625041733E-2</v>
      </c>
      <c r="G116" s="447" t="s">
        <v>149</v>
      </c>
    </row>
    <row r="117" spans="1:7">
      <c r="A117" s="405" t="s">
        <v>202</v>
      </c>
      <c r="B117" s="428" t="s">
        <v>203</v>
      </c>
      <c r="C117" s="515"/>
      <c r="D117" s="439" t="s">
        <v>193</v>
      </c>
      <c r="E117" s="428"/>
      <c r="F117" s="447">
        <v>0</v>
      </c>
      <c r="G117" s="447" t="s">
        <v>149</v>
      </c>
    </row>
    <row r="118" spans="1:7">
      <c r="A118" s="405" t="s">
        <v>204</v>
      </c>
      <c r="B118" s="428" t="s">
        <v>205</v>
      </c>
      <c r="C118" s="515"/>
      <c r="D118" s="439" t="s">
        <v>193</v>
      </c>
      <c r="E118" s="428"/>
      <c r="F118" s="447">
        <v>0</v>
      </c>
      <c r="G118" s="447" t="s">
        <v>149</v>
      </c>
    </row>
    <row r="119" spans="1:7">
      <c r="A119" s="405" t="s">
        <v>206</v>
      </c>
      <c r="B119" s="428" t="s">
        <v>207</v>
      </c>
      <c r="C119" s="515"/>
      <c r="D119" s="439" t="s">
        <v>193</v>
      </c>
      <c r="E119" s="428"/>
      <c r="F119" s="447">
        <v>0</v>
      </c>
      <c r="G119" s="447" t="s">
        <v>149</v>
      </c>
    </row>
    <row r="120" spans="1:7">
      <c r="A120" s="405" t="s">
        <v>208</v>
      </c>
      <c r="B120" s="428" t="s">
        <v>209</v>
      </c>
      <c r="C120" s="515"/>
      <c r="D120" s="439" t="s">
        <v>193</v>
      </c>
      <c r="E120" s="428"/>
      <c r="F120" s="447">
        <v>0</v>
      </c>
      <c r="G120" s="447" t="s">
        <v>149</v>
      </c>
    </row>
    <row r="121" spans="1:7">
      <c r="A121" s="405" t="s">
        <v>210</v>
      </c>
      <c r="B121" s="428" t="s">
        <v>211</v>
      </c>
      <c r="C121" s="515"/>
      <c r="D121" s="439" t="s">
        <v>193</v>
      </c>
      <c r="E121" s="428"/>
      <c r="F121" s="447">
        <v>0</v>
      </c>
      <c r="G121" s="447" t="s">
        <v>149</v>
      </c>
    </row>
    <row r="122" spans="1:7">
      <c r="A122" s="405" t="s">
        <v>212</v>
      </c>
      <c r="B122" s="428" t="s">
        <v>213</v>
      </c>
      <c r="C122" s="515"/>
      <c r="D122" s="439" t="s">
        <v>193</v>
      </c>
      <c r="E122" s="428"/>
      <c r="F122" s="447">
        <v>0</v>
      </c>
      <c r="G122" s="447" t="s">
        <v>149</v>
      </c>
    </row>
    <row r="123" spans="1:7">
      <c r="A123" s="405" t="s">
        <v>214</v>
      </c>
      <c r="B123" s="428" t="s">
        <v>215</v>
      </c>
      <c r="C123" s="515"/>
      <c r="D123" s="439" t="s">
        <v>193</v>
      </c>
      <c r="E123" s="428"/>
      <c r="F123" s="447">
        <v>0</v>
      </c>
      <c r="G123" s="447" t="s">
        <v>149</v>
      </c>
    </row>
    <row r="124" spans="1:7">
      <c r="A124" s="405" t="s">
        <v>216</v>
      </c>
      <c r="B124" s="428" t="s">
        <v>217</v>
      </c>
      <c r="C124" s="515"/>
      <c r="D124" s="439" t="s">
        <v>193</v>
      </c>
      <c r="E124" s="428"/>
      <c r="F124" s="447">
        <v>0</v>
      </c>
      <c r="G124" s="447" t="s">
        <v>149</v>
      </c>
    </row>
    <row r="125" spans="1:7">
      <c r="A125" s="405" t="s">
        <v>218</v>
      </c>
      <c r="B125" s="428" t="s">
        <v>219</v>
      </c>
      <c r="C125" s="515"/>
      <c r="D125" s="439" t="s">
        <v>193</v>
      </c>
      <c r="E125" s="428"/>
      <c r="F125" s="447">
        <v>0</v>
      </c>
      <c r="G125" s="447" t="s">
        <v>149</v>
      </c>
    </row>
    <row r="126" spans="1:7">
      <c r="A126" s="405" t="s">
        <v>220</v>
      </c>
      <c r="B126" s="428" t="s">
        <v>221</v>
      </c>
      <c r="C126" s="515"/>
      <c r="D126" s="439" t="s">
        <v>193</v>
      </c>
      <c r="E126" s="428"/>
      <c r="F126" s="447">
        <v>0</v>
      </c>
      <c r="G126" s="447" t="s">
        <v>149</v>
      </c>
    </row>
    <row r="127" spans="1:7">
      <c r="A127" s="405" t="s">
        <v>222</v>
      </c>
      <c r="B127" s="428" t="s">
        <v>223</v>
      </c>
      <c r="C127" s="515"/>
      <c r="D127" s="439" t="s">
        <v>193</v>
      </c>
      <c r="E127" s="428"/>
      <c r="F127" s="447">
        <v>0</v>
      </c>
      <c r="G127" s="447" t="s">
        <v>149</v>
      </c>
    </row>
    <row r="128" spans="1:7">
      <c r="A128" s="405" t="s">
        <v>224</v>
      </c>
      <c r="B128" s="428" t="s">
        <v>116</v>
      </c>
      <c r="C128" s="515"/>
      <c r="D128" s="439" t="s">
        <v>193</v>
      </c>
      <c r="E128" s="428"/>
      <c r="F128" s="447">
        <v>0</v>
      </c>
      <c r="G128" s="447" t="s">
        <v>149</v>
      </c>
    </row>
    <row r="129" spans="1:7">
      <c r="A129" s="405" t="s">
        <v>225</v>
      </c>
      <c r="B129" s="507" t="s">
        <v>118</v>
      </c>
      <c r="C129" s="515">
        <v>11248538224.92989</v>
      </c>
      <c r="D129" s="439">
        <v>0</v>
      </c>
      <c r="E129" s="428"/>
      <c r="F129" s="447">
        <v>1</v>
      </c>
      <c r="G129" s="442">
        <v>0</v>
      </c>
    </row>
    <row r="130" spans="1:7">
      <c r="A130" s="405" t="s">
        <v>226</v>
      </c>
      <c r="B130" s="451" t="s">
        <v>120</v>
      </c>
      <c r="C130" s="439"/>
      <c r="D130" s="439"/>
      <c r="E130" s="428"/>
      <c r="F130" s="447" t="s">
        <v>149</v>
      </c>
      <c r="G130" s="447" t="s">
        <v>149</v>
      </c>
    </row>
    <row r="131" spans="1:7">
      <c r="A131" s="405" t="s">
        <v>227</v>
      </c>
      <c r="B131" s="451" t="s">
        <v>120</v>
      </c>
      <c r="C131" s="439"/>
      <c r="D131" s="439"/>
      <c r="E131" s="428"/>
      <c r="F131" s="447">
        <v>0</v>
      </c>
      <c r="G131" s="447" t="s">
        <v>149</v>
      </c>
    </row>
    <row r="132" spans="1:7">
      <c r="A132" s="405" t="s">
        <v>228</v>
      </c>
      <c r="B132" s="451" t="s">
        <v>120</v>
      </c>
      <c r="C132" s="439"/>
      <c r="D132" s="439"/>
      <c r="E132" s="428"/>
      <c r="F132" s="447">
        <v>0</v>
      </c>
      <c r="G132" s="447" t="s">
        <v>149</v>
      </c>
    </row>
    <row r="133" spans="1:7">
      <c r="A133" s="405" t="s">
        <v>229</v>
      </c>
      <c r="B133" s="451" t="s">
        <v>120</v>
      </c>
      <c r="C133" s="439"/>
      <c r="D133" s="439"/>
      <c r="E133" s="428"/>
      <c r="F133" s="447">
        <v>0</v>
      </c>
      <c r="G133" s="447" t="s">
        <v>149</v>
      </c>
    </row>
    <row r="134" spans="1:7">
      <c r="A134" s="405" t="s">
        <v>230</v>
      </c>
      <c r="B134" s="451" t="s">
        <v>120</v>
      </c>
      <c r="C134" s="439"/>
      <c r="D134" s="439"/>
      <c r="E134" s="428"/>
      <c r="F134" s="447">
        <v>0</v>
      </c>
      <c r="G134" s="447" t="s">
        <v>149</v>
      </c>
    </row>
    <row r="135" spans="1:7">
      <c r="A135" s="405" t="s">
        <v>231</v>
      </c>
      <c r="B135" s="451" t="s">
        <v>120</v>
      </c>
      <c r="C135" s="439"/>
      <c r="D135" s="439"/>
      <c r="E135" s="428"/>
      <c r="F135" s="447">
        <v>0</v>
      </c>
      <c r="G135" s="447" t="s">
        <v>149</v>
      </c>
    </row>
    <row r="136" spans="1:7">
      <c r="A136" s="405" t="s">
        <v>232</v>
      </c>
      <c r="B136" s="451" t="s">
        <v>120</v>
      </c>
      <c r="C136" s="439"/>
      <c r="D136" s="439"/>
      <c r="E136" s="428"/>
      <c r="F136" s="447">
        <v>0</v>
      </c>
      <c r="G136" s="447" t="s">
        <v>149</v>
      </c>
    </row>
    <row r="137" spans="1:7">
      <c r="A137" s="436"/>
      <c r="B137" s="455" t="s">
        <v>23</v>
      </c>
      <c r="C137" s="436" t="s">
        <v>188</v>
      </c>
      <c r="D137" s="436" t="s">
        <v>189</v>
      </c>
      <c r="E137" s="457"/>
      <c r="F137" s="436" t="s">
        <v>190</v>
      </c>
      <c r="G137" s="436" t="s">
        <v>191</v>
      </c>
    </row>
    <row r="138" spans="1:7">
      <c r="A138" s="405" t="s">
        <v>233</v>
      </c>
      <c r="B138" s="428" t="s">
        <v>32</v>
      </c>
      <c r="C138" s="515">
        <v>9885647366.0100002</v>
      </c>
      <c r="D138" s="439" t="s">
        <v>193</v>
      </c>
      <c r="E138" s="448"/>
      <c r="F138" s="447">
        <v>0.95490020637765294</v>
      </c>
      <c r="G138" s="447" t="s">
        <v>149</v>
      </c>
    </row>
    <row r="139" spans="1:7">
      <c r="A139" s="405" t="s">
        <v>234</v>
      </c>
      <c r="B139" s="428" t="s">
        <v>195</v>
      </c>
      <c r="C139" s="515"/>
      <c r="D139" s="439" t="s">
        <v>193</v>
      </c>
      <c r="E139" s="448"/>
      <c r="F139" s="447">
        <v>0</v>
      </c>
      <c r="G139" s="447" t="s">
        <v>149</v>
      </c>
    </row>
    <row r="140" spans="1:7">
      <c r="A140" s="405" t="s">
        <v>235</v>
      </c>
      <c r="B140" s="428" t="s">
        <v>197</v>
      </c>
      <c r="C140" s="515"/>
      <c r="D140" s="439" t="s">
        <v>193</v>
      </c>
      <c r="E140" s="448"/>
      <c r="F140" s="447">
        <v>0</v>
      </c>
      <c r="G140" s="447" t="s">
        <v>149</v>
      </c>
    </row>
    <row r="141" spans="1:7">
      <c r="A141" s="405" t="s">
        <v>236</v>
      </c>
      <c r="B141" s="428" t="s">
        <v>199</v>
      </c>
      <c r="C141" s="515"/>
      <c r="D141" s="439" t="s">
        <v>193</v>
      </c>
      <c r="E141" s="448"/>
      <c r="F141" s="447">
        <v>0</v>
      </c>
      <c r="G141" s="447" t="s">
        <v>149</v>
      </c>
    </row>
    <row r="142" spans="1:7">
      <c r="A142" s="405" t="s">
        <v>237</v>
      </c>
      <c r="B142" s="428" t="s">
        <v>201</v>
      </c>
      <c r="C142" s="515">
        <v>466897492.38999999</v>
      </c>
      <c r="D142" s="439" t="s">
        <v>193</v>
      </c>
      <c r="E142" s="448"/>
      <c r="F142" s="447">
        <v>4.5099779036561739E-2</v>
      </c>
      <c r="G142" s="447" t="s">
        <v>149</v>
      </c>
    </row>
    <row r="143" spans="1:7">
      <c r="A143" s="405" t="s">
        <v>238</v>
      </c>
      <c r="B143" s="428" t="s">
        <v>203</v>
      </c>
      <c r="C143" s="515"/>
      <c r="D143" s="439" t="s">
        <v>193</v>
      </c>
      <c r="E143" s="428"/>
      <c r="F143" s="447">
        <v>0</v>
      </c>
      <c r="G143" s="447" t="s">
        <v>149</v>
      </c>
    </row>
    <row r="144" spans="1:7">
      <c r="A144" s="405" t="s">
        <v>239</v>
      </c>
      <c r="B144" s="428" t="s">
        <v>205</v>
      </c>
      <c r="C144" s="515"/>
      <c r="D144" s="439" t="s">
        <v>193</v>
      </c>
      <c r="E144" s="428"/>
      <c r="F144" s="447">
        <v>0</v>
      </c>
      <c r="G144" s="447" t="s">
        <v>149</v>
      </c>
    </row>
    <row r="145" spans="1:7">
      <c r="A145" s="405" t="s">
        <v>240</v>
      </c>
      <c r="B145" s="428" t="s">
        <v>207</v>
      </c>
      <c r="C145" s="515"/>
      <c r="D145" s="439" t="s">
        <v>193</v>
      </c>
      <c r="E145" s="428"/>
      <c r="F145" s="447">
        <v>0</v>
      </c>
      <c r="G145" s="447" t="s">
        <v>149</v>
      </c>
    </row>
    <row r="146" spans="1:7">
      <c r="A146" s="405" t="s">
        <v>241</v>
      </c>
      <c r="B146" s="428" t="s">
        <v>209</v>
      </c>
      <c r="C146" s="515"/>
      <c r="D146" s="439" t="s">
        <v>193</v>
      </c>
      <c r="E146" s="428"/>
      <c r="F146" s="447">
        <v>0</v>
      </c>
      <c r="G146" s="447" t="s">
        <v>149</v>
      </c>
    </row>
    <row r="147" spans="1:7">
      <c r="A147" s="405" t="s">
        <v>242</v>
      </c>
      <c r="B147" s="428" t="s">
        <v>211</v>
      </c>
      <c r="C147" s="515"/>
      <c r="D147" s="439" t="s">
        <v>193</v>
      </c>
      <c r="E147" s="428"/>
      <c r="F147" s="447">
        <v>0</v>
      </c>
      <c r="G147" s="447" t="s">
        <v>149</v>
      </c>
    </row>
    <row r="148" spans="1:7">
      <c r="A148" s="405" t="s">
        <v>243</v>
      </c>
      <c r="B148" s="428" t="s">
        <v>213</v>
      </c>
      <c r="C148" s="515"/>
      <c r="D148" s="439" t="s">
        <v>193</v>
      </c>
      <c r="E148" s="428"/>
      <c r="F148" s="447">
        <v>0</v>
      </c>
      <c r="G148" s="447" t="s">
        <v>149</v>
      </c>
    </row>
    <row r="149" spans="1:7">
      <c r="A149" s="405" t="s">
        <v>244</v>
      </c>
      <c r="B149" s="428" t="s">
        <v>215</v>
      </c>
      <c r="C149" s="515"/>
      <c r="D149" s="439" t="s">
        <v>193</v>
      </c>
      <c r="E149" s="428"/>
      <c r="F149" s="447">
        <v>0</v>
      </c>
      <c r="G149" s="447" t="s">
        <v>149</v>
      </c>
    </row>
    <row r="150" spans="1:7">
      <c r="A150" s="405" t="s">
        <v>245</v>
      </c>
      <c r="B150" s="428" t="s">
        <v>217</v>
      </c>
      <c r="C150" s="515"/>
      <c r="D150" s="439" t="s">
        <v>193</v>
      </c>
      <c r="E150" s="428"/>
      <c r="F150" s="447">
        <v>0</v>
      </c>
      <c r="G150" s="447" t="s">
        <v>149</v>
      </c>
    </row>
    <row r="151" spans="1:7">
      <c r="A151" s="405" t="s">
        <v>246</v>
      </c>
      <c r="B151" s="428" t="s">
        <v>219</v>
      </c>
      <c r="C151" s="515"/>
      <c r="D151" s="439" t="s">
        <v>193</v>
      </c>
      <c r="E151" s="428"/>
      <c r="F151" s="447">
        <v>0</v>
      </c>
      <c r="G151" s="447" t="s">
        <v>149</v>
      </c>
    </row>
    <row r="152" spans="1:7">
      <c r="A152" s="405" t="s">
        <v>247</v>
      </c>
      <c r="B152" s="428" t="s">
        <v>221</v>
      </c>
      <c r="C152" s="515"/>
      <c r="D152" s="439" t="s">
        <v>193</v>
      </c>
      <c r="E152" s="428"/>
      <c r="F152" s="447">
        <v>0</v>
      </c>
      <c r="G152" s="447" t="s">
        <v>149</v>
      </c>
    </row>
    <row r="153" spans="1:7">
      <c r="A153" s="405" t="s">
        <v>248</v>
      </c>
      <c r="B153" s="428" t="s">
        <v>223</v>
      </c>
      <c r="C153" s="515"/>
      <c r="D153" s="439" t="s">
        <v>193</v>
      </c>
      <c r="E153" s="428"/>
      <c r="F153" s="447">
        <v>0</v>
      </c>
      <c r="G153" s="447" t="s">
        <v>149</v>
      </c>
    </row>
    <row r="154" spans="1:7">
      <c r="A154" s="405" t="s">
        <v>249</v>
      </c>
      <c r="B154" s="428" t="s">
        <v>116</v>
      </c>
      <c r="C154" s="515"/>
      <c r="D154" s="439" t="s">
        <v>193</v>
      </c>
      <c r="E154" s="428"/>
      <c r="F154" s="447">
        <v>0</v>
      </c>
      <c r="G154" s="447" t="s">
        <v>149</v>
      </c>
    </row>
    <row r="155" spans="1:7">
      <c r="A155" s="405" t="s">
        <v>250</v>
      </c>
      <c r="B155" s="449" t="s">
        <v>118</v>
      </c>
      <c r="C155" s="515">
        <v>10352545009.4</v>
      </c>
      <c r="D155" s="439">
        <v>0</v>
      </c>
      <c r="E155" s="428"/>
      <c r="F155" s="447">
        <v>1</v>
      </c>
      <c r="G155" s="442">
        <v>0</v>
      </c>
    </row>
    <row r="156" spans="1:7">
      <c r="A156" s="405" t="s">
        <v>251</v>
      </c>
      <c r="B156" s="451" t="s">
        <v>120</v>
      </c>
      <c r="C156" s="439"/>
      <c r="D156" s="439"/>
      <c r="E156" s="428"/>
      <c r="F156" s="447" t="s">
        <v>149</v>
      </c>
      <c r="G156" s="447" t="s">
        <v>149</v>
      </c>
    </row>
    <row r="157" spans="1:7">
      <c r="A157" s="405" t="s">
        <v>252</v>
      </c>
      <c r="B157" s="451" t="s">
        <v>120</v>
      </c>
      <c r="C157" s="439"/>
      <c r="D157" s="439"/>
      <c r="E157" s="428"/>
      <c r="F157" s="447" t="s">
        <v>149</v>
      </c>
      <c r="G157" s="447" t="s">
        <v>149</v>
      </c>
    </row>
    <row r="158" spans="1:7">
      <c r="A158" s="405" t="s">
        <v>253</v>
      </c>
      <c r="B158" s="451" t="s">
        <v>120</v>
      </c>
      <c r="C158" s="439"/>
      <c r="D158" s="439"/>
      <c r="E158" s="428"/>
      <c r="F158" s="447" t="s">
        <v>149</v>
      </c>
      <c r="G158" s="447" t="s">
        <v>149</v>
      </c>
    </row>
    <row r="159" spans="1:7">
      <c r="A159" s="405" t="s">
        <v>254</v>
      </c>
      <c r="B159" s="451" t="s">
        <v>120</v>
      </c>
      <c r="C159" s="439"/>
      <c r="D159" s="439"/>
      <c r="E159" s="428"/>
      <c r="F159" s="447" t="s">
        <v>149</v>
      </c>
      <c r="G159" s="447" t="s">
        <v>149</v>
      </c>
    </row>
    <row r="160" spans="1:7">
      <c r="A160" s="405" t="s">
        <v>255</v>
      </c>
      <c r="B160" s="451" t="s">
        <v>120</v>
      </c>
      <c r="C160" s="439"/>
      <c r="D160" s="439"/>
      <c r="E160" s="428"/>
      <c r="F160" s="447" t="s">
        <v>149</v>
      </c>
      <c r="G160" s="447" t="s">
        <v>149</v>
      </c>
    </row>
    <row r="161" spans="1:7">
      <c r="A161" s="405" t="s">
        <v>256</v>
      </c>
      <c r="B161" s="451" t="s">
        <v>120</v>
      </c>
      <c r="C161" s="439"/>
      <c r="D161" s="439"/>
      <c r="E161" s="428"/>
      <c r="F161" s="447" t="s">
        <v>149</v>
      </c>
      <c r="G161" s="447" t="s">
        <v>149</v>
      </c>
    </row>
    <row r="162" spans="1:7">
      <c r="A162" s="405" t="s">
        <v>257</v>
      </c>
      <c r="B162" s="451" t="s">
        <v>120</v>
      </c>
      <c r="C162" s="439"/>
      <c r="D162" s="439"/>
      <c r="E162" s="428"/>
      <c r="F162" s="447" t="s">
        <v>149</v>
      </c>
      <c r="G162" s="447" t="s">
        <v>149</v>
      </c>
    </row>
    <row r="163" spans="1:7">
      <c r="A163" s="436"/>
      <c r="B163" s="455" t="s">
        <v>24</v>
      </c>
      <c r="C163" s="456" t="s">
        <v>188</v>
      </c>
      <c r="D163" s="456" t="s">
        <v>189</v>
      </c>
      <c r="E163" s="457"/>
      <c r="F163" s="456" t="s">
        <v>190</v>
      </c>
      <c r="G163" s="456" t="s">
        <v>191</v>
      </c>
    </row>
    <row r="164" spans="1:7">
      <c r="A164" s="405" t="s">
        <v>258</v>
      </c>
      <c r="B164" s="405" t="s">
        <v>259</v>
      </c>
      <c r="C164" s="515">
        <v>10332544858.4</v>
      </c>
      <c r="D164" s="439" t="s">
        <v>193</v>
      </c>
      <c r="E164" s="454"/>
      <c r="F164" s="447">
        <v>0.99806810786395461</v>
      </c>
      <c r="G164" s="447" t="s">
        <v>149</v>
      </c>
    </row>
    <row r="165" spans="1:7">
      <c r="A165" s="405" t="s">
        <v>260</v>
      </c>
      <c r="B165" s="405" t="s">
        <v>261</v>
      </c>
      <c r="C165" s="515">
        <v>20000000</v>
      </c>
      <c r="D165" s="439" t="s">
        <v>193</v>
      </c>
      <c r="E165" s="454"/>
      <c r="F165" s="447">
        <v>1.9318921360453808E-3</v>
      </c>
      <c r="G165" s="447" t="s">
        <v>149</v>
      </c>
    </row>
    <row r="166" spans="1:7">
      <c r="A166" s="405" t="s">
        <v>262</v>
      </c>
      <c r="B166" s="405" t="s">
        <v>116</v>
      </c>
      <c r="C166" s="515">
        <v>0</v>
      </c>
      <c r="D166" s="439" t="s">
        <v>193</v>
      </c>
      <c r="E166" s="454"/>
      <c r="F166" s="447">
        <v>0</v>
      </c>
      <c r="G166" s="447" t="s">
        <v>149</v>
      </c>
    </row>
    <row r="167" spans="1:7">
      <c r="A167" s="405" t="s">
        <v>263</v>
      </c>
      <c r="B167" s="467" t="s">
        <v>118</v>
      </c>
      <c r="C167" s="515">
        <v>10352544858.4</v>
      </c>
      <c r="D167" s="439">
        <v>0</v>
      </c>
      <c r="E167" s="454"/>
      <c r="F167" s="447">
        <v>1</v>
      </c>
      <c r="G167" s="450">
        <v>0</v>
      </c>
    </row>
    <row r="168" spans="1:7">
      <c r="A168" s="405" t="s">
        <v>264</v>
      </c>
      <c r="B168" s="467"/>
      <c r="C168" s="530"/>
      <c r="D168" s="439"/>
      <c r="E168" s="454"/>
      <c r="F168" s="454"/>
      <c r="G168" s="428"/>
    </row>
    <row r="169" spans="1:7">
      <c r="A169" s="405" t="s">
        <v>265</v>
      </c>
      <c r="B169" s="467"/>
      <c r="C169" s="439"/>
      <c r="D169" s="439"/>
      <c r="E169" s="454"/>
      <c r="F169" s="454"/>
      <c r="G169" s="428"/>
    </row>
    <row r="170" spans="1:7">
      <c r="A170" s="405" t="s">
        <v>266</v>
      </c>
      <c r="B170" s="467"/>
      <c r="C170" s="439"/>
      <c r="D170" s="439"/>
      <c r="E170" s="454"/>
      <c r="F170" s="454"/>
      <c r="G170" s="428"/>
    </row>
    <row r="171" spans="1:7">
      <c r="A171" s="405" t="s">
        <v>267</v>
      </c>
      <c r="B171" s="467"/>
      <c r="C171" s="439"/>
      <c r="D171" s="439"/>
      <c r="E171" s="454"/>
      <c r="F171" s="454"/>
      <c r="G171" s="428"/>
    </row>
    <row r="172" spans="1:7">
      <c r="A172" s="405" t="s">
        <v>268</v>
      </c>
      <c r="B172" s="467"/>
      <c r="C172" s="439"/>
      <c r="D172" s="439"/>
      <c r="E172" s="454"/>
      <c r="F172" s="454"/>
      <c r="G172" s="428"/>
    </row>
    <row r="173" spans="1:7">
      <c r="A173" s="436"/>
      <c r="B173" s="455" t="s">
        <v>269</v>
      </c>
      <c r="C173" s="436" t="s">
        <v>78</v>
      </c>
      <c r="D173" s="436"/>
      <c r="E173" s="457"/>
      <c r="F173" s="436" t="s">
        <v>270</v>
      </c>
      <c r="G173" s="436"/>
    </row>
    <row r="174" spans="1:7">
      <c r="A174" s="405" t="s">
        <v>271</v>
      </c>
      <c r="B174" s="428" t="s">
        <v>272</v>
      </c>
      <c r="C174" s="437">
        <v>0</v>
      </c>
      <c r="D174" s="423"/>
      <c r="E174" s="424"/>
      <c r="F174" s="447">
        <v>0</v>
      </c>
      <c r="G174" s="448"/>
    </row>
    <row r="175" spans="1:7" ht="30">
      <c r="A175" s="405" t="s">
        <v>273</v>
      </c>
      <c r="B175" s="428" t="s">
        <v>274</v>
      </c>
      <c r="C175" s="437">
        <v>0</v>
      </c>
      <c r="D175" s="405"/>
      <c r="E175" s="454"/>
      <c r="F175" s="447">
        <v>0</v>
      </c>
      <c r="G175" s="448"/>
    </row>
    <row r="176" spans="1:7">
      <c r="A176" s="405" t="s">
        <v>275</v>
      </c>
      <c r="B176" s="428" t="s">
        <v>276</v>
      </c>
      <c r="C176" s="437">
        <v>0</v>
      </c>
      <c r="D176" s="405"/>
      <c r="E176" s="454"/>
      <c r="F176" s="447">
        <v>0</v>
      </c>
      <c r="G176" s="448"/>
    </row>
    <row r="177" spans="1:7">
      <c r="A177" s="405" t="s">
        <v>277</v>
      </c>
      <c r="B177" s="428" t="s">
        <v>278</v>
      </c>
      <c r="C177" s="437">
        <v>0</v>
      </c>
      <c r="D177" s="405"/>
      <c r="E177" s="454"/>
      <c r="F177" s="447">
        <v>0</v>
      </c>
      <c r="G177" s="448"/>
    </row>
    <row r="178" spans="1:7">
      <c r="A178" s="405" t="s">
        <v>279</v>
      </c>
      <c r="B178" s="428" t="s">
        <v>116</v>
      </c>
      <c r="C178" s="437">
        <v>0</v>
      </c>
      <c r="D178" s="405"/>
      <c r="E178" s="454"/>
      <c r="F178" s="447">
        <v>0</v>
      </c>
      <c r="G178" s="448"/>
    </row>
    <row r="179" spans="1:7">
      <c r="A179" s="405" t="s">
        <v>280</v>
      </c>
      <c r="B179" s="449" t="s">
        <v>118</v>
      </c>
      <c r="C179" s="437">
        <v>0</v>
      </c>
      <c r="D179" s="405"/>
      <c r="E179" s="454"/>
      <c r="F179" s="450">
        <v>0</v>
      </c>
      <c r="G179" s="448"/>
    </row>
    <row r="180" spans="1:7">
      <c r="A180" s="405" t="s">
        <v>281</v>
      </c>
      <c r="B180" s="462" t="s">
        <v>282</v>
      </c>
      <c r="C180" s="439"/>
      <c r="D180" s="405"/>
      <c r="E180" s="454"/>
      <c r="F180" s="447" t="s">
        <v>149</v>
      </c>
      <c r="G180" s="448"/>
    </row>
    <row r="181" spans="1:7" ht="30">
      <c r="A181" s="405" t="s">
        <v>283</v>
      </c>
      <c r="B181" s="462" t="s">
        <v>284</v>
      </c>
      <c r="C181" s="468"/>
      <c r="D181" s="462"/>
      <c r="E181" s="462"/>
      <c r="F181" s="447" t="s">
        <v>149</v>
      </c>
      <c r="G181" s="462"/>
    </row>
    <row r="182" spans="1:7" ht="30">
      <c r="A182" s="405" t="s">
        <v>285</v>
      </c>
      <c r="B182" s="462" t="s">
        <v>286</v>
      </c>
      <c r="C182" s="439"/>
      <c r="D182" s="405"/>
      <c r="E182" s="454"/>
      <c r="F182" s="447" t="s">
        <v>149</v>
      </c>
      <c r="G182" s="448"/>
    </row>
    <row r="183" spans="1:7">
      <c r="A183" s="405" t="s">
        <v>287</v>
      </c>
      <c r="B183" s="462" t="s">
        <v>288</v>
      </c>
      <c r="C183" s="439"/>
      <c r="D183" s="405"/>
      <c r="E183" s="454"/>
      <c r="F183" s="447" t="s">
        <v>149</v>
      </c>
      <c r="G183" s="448"/>
    </row>
    <row r="184" spans="1:7" ht="30">
      <c r="A184" s="405" t="s">
        <v>289</v>
      </c>
      <c r="B184" s="462" t="s">
        <v>290</v>
      </c>
      <c r="C184" s="468"/>
      <c r="D184" s="462"/>
      <c r="E184" s="462"/>
      <c r="F184" s="447" t="s">
        <v>149</v>
      </c>
      <c r="G184" s="462"/>
    </row>
    <row r="185" spans="1:7" ht="30">
      <c r="A185" s="405" t="s">
        <v>291</v>
      </c>
      <c r="B185" s="462" t="s">
        <v>292</v>
      </c>
      <c r="C185" s="439"/>
      <c r="D185" s="405"/>
      <c r="E185" s="454"/>
      <c r="F185" s="447" t="s">
        <v>149</v>
      </c>
      <c r="G185" s="448"/>
    </row>
    <row r="186" spans="1:7">
      <c r="A186" s="405" t="s">
        <v>293</v>
      </c>
      <c r="B186" s="462" t="s">
        <v>294</v>
      </c>
      <c r="C186" s="439"/>
      <c r="D186" s="405"/>
      <c r="E186" s="454"/>
      <c r="F186" s="447" t="s">
        <v>149</v>
      </c>
      <c r="G186" s="448"/>
    </row>
    <row r="187" spans="1:7">
      <c r="A187" s="405" t="s">
        <v>295</v>
      </c>
      <c r="B187" s="462" t="s">
        <v>296</v>
      </c>
      <c r="C187" s="439"/>
      <c r="D187" s="405"/>
      <c r="E187" s="454"/>
      <c r="F187" s="447" t="s">
        <v>149</v>
      </c>
      <c r="G187" s="448"/>
    </row>
    <row r="188" spans="1:7">
      <c r="A188" s="405" t="s">
        <v>297</v>
      </c>
      <c r="B188" s="462"/>
      <c r="C188" s="405"/>
      <c r="D188" s="405"/>
      <c r="E188" s="454"/>
      <c r="F188" s="448"/>
      <c r="G188" s="448"/>
    </row>
    <row r="189" spans="1:7">
      <c r="A189" s="405" t="s">
        <v>298</v>
      </c>
      <c r="B189" s="462"/>
      <c r="C189" s="405"/>
      <c r="D189" s="405"/>
      <c r="E189" s="454"/>
      <c r="F189" s="448"/>
      <c r="G189" s="448"/>
    </row>
    <row r="190" spans="1:7">
      <c r="A190" s="405" t="s">
        <v>299</v>
      </c>
      <c r="B190" s="462"/>
      <c r="C190" s="405"/>
      <c r="D190" s="405"/>
      <c r="E190" s="454"/>
      <c r="F190" s="448"/>
      <c r="G190" s="448"/>
    </row>
    <row r="191" spans="1:7">
      <c r="A191" s="405" t="s">
        <v>300</v>
      </c>
      <c r="B191" s="451"/>
      <c r="C191" s="405"/>
      <c r="D191" s="405"/>
      <c r="E191" s="454"/>
      <c r="F191" s="448"/>
      <c r="G191" s="448"/>
    </row>
    <row r="192" spans="1:7">
      <c r="A192" s="436"/>
      <c r="B192" s="455" t="s">
        <v>301</v>
      </c>
      <c r="C192" s="436" t="s">
        <v>78</v>
      </c>
      <c r="D192" s="436"/>
      <c r="E192" s="457"/>
      <c r="F192" s="436" t="s">
        <v>270</v>
      </c>
      <c r="G192" s="436"/>
    </row>
    <row r="193" spans="1:7">
      <c r="A193" s="405" t="s">
        <v>302</v>
      </c>
      <c r="B193" s="428" t="s">
        <v>303</v>
      </c>
      <c r="C193" s="437">
        <v>0</v>
      </c>
      <c r="D193" s="405"/>
      <c r="E193" s="446"/>
      <c r="F193" s="450">
        <v>0</v>
      </c>
      <c r="G193" s="448"/>
    </row>
    <row r="194" spans="1:7">
      <c r="A194" s="405" t="s">
        <v>304</v>
      </c>
      <c r="B194" s="428" t="s">
        <v>305</v>
      </c>
      <c r="C194" s="437">
        <v>0</v>
      </c>
      <c r="D194" s="405"/>
      <c r="E194" s="454"/>
      <c r="F194" s="450">
        <v>0</v>
      </c>
      <c r="G194" s="454"/>
    </row>
    <row r="195" spans="1:7">
      <c r="A195" s="405" t="s">
        <v>306</v>
      </c>
      <c r="B195" s="428" t="s">
        <v>307</v>
      </c>
      <c r="C195" s="437">
        <v>0</v>
      </c>
      <c r="D195" s="405"/>
      <c r="E195" s="454"/>
      <c r="F195" s="450">
        <v>0</v>
      </c>
      <c r="G195" s="454"/>
    </row>
    <row r="196" spans="1:7">
      <c r="A196" s="405" t="s">
        <v>308</v>
      </c>
      <c r="B196" s="428" t="s">
        <v>309</v>
      </c>
      <c r="C196" s="437">
        <v>0</v>
      </c>
      <c r="D196" s="405"/>
      <c r="E196" s="454"/>
      <c r="F196" s="450">
        <v>0</v>
      </c>
      <c r="G196" s="454"/>
    </row>
    <row r="197" spans="1:7">
      <c r="A197" s="405" t="s">
        <v>310</v>
      </c>
      <c r="B197" s="428" t="s">
        <v>311</v>
      </c>
      <c r="C197" s="437">
        <v>0</v>
      </c>
      <c r="D197" s="405"/>
      <c r="E197" s="454"/>
      <c r="F197" s="450">
        <v>0</v>
      </c>
      <c r="G197" s="454"/>
    </row>
    <row r="198" spans="1:7">
      <c r="A198" s="405" t="s">
        <v>312</v>
      </c>
      <c r="B198" s="428" t="s">
        <v>313</v>
      </c>
      <c r="C198" s="437">
        <v>0</v>
      </c>
      <c r="D198" s="405"/>
      <c r="E198" s="454"/>
      <c r="F198" s="450">
        <v>0</v>
      </c>
      <c r="G198" s="454"/>
    </row>
    <row r="199" spans="1:7">
      <c r="A199" s="405" t="s">
        <v>314</v>
      </c>
      <c r="B199" s="428" t="s">
        <v>315</v>
      </c>
      <c r="C199" s="437">
        <v>0</v>
      </c>
      <c r="D199" s="405"/>
      <c r="E199" s="454"/>
      <c r="F199" s="450">
        <v>0</v>
      </c>
      <c r="G199" s="454"/>
    </row>
    <row r="200" spans="1:7">
      <c r="A200" s="405" t="s">
        <v>316</v>
      </c>
      <c r="B200" s="428" t="s">
        <v>317</v>
      </c>
      <c r="C200" s="437">
        <v>0</v>
      </c>
      <c r="D200" s="405"/>
      <c r="E200" s="454"/>
      <c r="F200" s="450">
        <v>0</v>
      </c>
      <c r="G200" s="454"/>
    </row>
    <row r="201" spans="1:7">
      <c r="A201" s="405" t="s">
        <v>318</v>
      </c>
      <c r="B201" s="428" t="s">
        <v>319</v>
      </c>
      <c r="C201" s="437">
        <v>0</v>
      </c>
      <c r="D201" s="405"/>
      <c r="E201" s="454"/>
      <c r="F201" s="450">
        <v>0</v>
      </c>
      <c r="G201" s="454"/>
    </row>
    <row r="202" spans="1:7">
      <c r="A202" s="405" t="s">
        <v>320</v>
      </c>
      <c r="B202" s="428" t="s">
        <v>321</v>
      </c>
      <c r="C202" s="437">
        <v>0</v>
      </c>
      <c r="D202" s="405"/>
      <c r="E202" s="454"/>
      <c r="F202" s="450">
        <v>0</v>
      </c>
      <c r="G202" s="454"/>
    </row>
    <row r="203" spans="1:7">
      <c r="A203" s="405" t="s">
        <v>322</v>
      </c>
      <c r="B203" s="428" t="s">
        <v>323</v>
      </c>
      <c r="C203" s="437">
        <v>0</v>
      </c>
      <c r="D203" s="405"/>
      <c r="E203" s="454"/>
      <c r="F203" s="450">
        <v>0</v>
      </c>
      <c r="G203" s="454"/>
    </row>
    <row r="204" spans="1:7">
      <c r="A204" s="405" t="s">
        <v>324</v>
      </c>
      <c r="B204" s="428" t="s">
        <v>325</v>
      </c>
      <c r="C204" s="437">
        <v>0</v>
      </c>
      <c r="D204" s="405"/>
      <c r="E204" s="454"/>
      <c r="F204" s="450">
        <v>0</v>
      </c>
      <c r="G204" s="454"/>
    </row>
    <row r="205" spans="1:7">
      <c r="A205" s="405" t="s">
        <v>326</v>
      </c>
      <c r="B205" s="428" t="s">
        <v>327</v>
      </c>
      <c r="C205" s="437">
        <v>0</v>
      </c>
      <c r="D205" s="405"/>
      <c r="E205" s="454"/>
      <c r="F205" s="450">
        <v>0</v>
      </c>
      <c r="G205" s="454"/>
    </row>
    <row r="206" spans="1:7">
      <c r="A206" s="405" t="s">
        <v>328</v>
      </c>
      <c r="B206" s="428" t="s">
        <v>116</v>
      </c>
      <c r="C206" s="437">
        <v>0</v>
      </c>
      <c r="D206" s="405"/>
      <c r="E206" s="454"/>
      <c r="F206" s="450">
        <v>0</v>
      </c>
      <c r="G206" s="454"/>
    </row>
    <row r="207" spans="1:7">
      <c r="A207" s="405" t="s">
        <v>329</v>
      </c>
      <c r="B207" s="449" t="s">
        <v>330</v>
      </c>
      <c r="C207" s="437">
        <v>0</v>
      </c>
      <c r="D207" s="405"/>
      <c r="E207" s="454"/>
      <c r="F207" s="450">
        <v>0</v>
      </c>
      <c r="G207" s="454"/>
    </row>
    <row r="208" spans="1:7">
      <c r="A208" s="405" t="s">
        <v>331</v>
      </c>
      <c r="B208" s="449" t="s">
        <v>118</v>
      </c>
      <c r="C208" s="437">
        <v>0</v>
      </c>
      <c r="D208" s="428"/>
      <c r="E208" s="454"/>
      <c r="F208" s="450">
        <v>0</v>
      </c>
      <c r="G208" s="454"/>
    </row>
    <row r="209" spans="1:7">
      <c r="A209" s="405" t="s">
        <v>332</v>
      </c>
      <c r="B209" s="451" t="s">
        <v>120</v>
      </c>
      <c r="C209" s="439"/>
      <c r="D209" s="405"/>
      <c r="E209" s="454"/>
      <c r="F209" s="447" t="s">
        <v>149</v>
      </c>
      <c r="G209" s="454"/>
    </row>
    <row r="210" spans="1:7">
      <c r="A210" s="405" t="s">
        <v>333</v>
      </c>
      <c r="B210" s="451" t="s">
        <v>120</v>
      </c>
      <c r="C210" s="439"/>
      <c r="D210" s="405"/>
      <c r="E210" s="454"/>
      <c r="F210" s="447" t="s">
        <v>149</v>
      </c>
      <c r="G210" s="454"/>
    </row>
    <row r="211" spans="1:7">
      <c r="A211" s="405" t="s">
        <v>334</v>
      </c>
      <c r="B211" s="451" t="s">
        <v>120</v>
      </c>
      <c r="C211" s="439"/>
      <c r="D211" s="405"/>
      <c r="E211" s="454"/>
      <c r="F211" s="447" t="s">
        <v>149</v>
      </c>
      <c r="G211" s="454"/>
    </row>
    <row r="212" spans="1:7">
      <c r="A212" s="405" t="s">
        <v>335</v>
      </c>
      <c r="B212" s="451" t="s">
        <v>120</v>
      </c>
      <c r="C212" s="439"/>
      <c r="D212" s="405"/>
      <c r="E212" s="454"/>
      <c r="F212" s="447" t="s">
        <v>149</v>
      </c>
      <c r="G212" s="454"/>
    </row>
    <row r="213" spans="1:7">
      <c r="A213" s="405" t="s">
        <v>336</v>
      </c>
      <c r="B213" s="451" t="s">
        <v>120</v>
      </c>
      <c r="C213" s="439"/>
      <c r="D213" s="405"/>
      <c r="E213" s="454"/>
      <c r="F213" s="447" t="s">
        <v>149</v>
      </c>
      <c r="G213" s="454"/>
    </row>
    <row r="214" spans="1:7">
      <c r="A214" s="405" t="s">
        <v>337</v>
      </c>
      <c r="B214" s="451" t="s">
        <v>120</v>
      </c>
      <c r="C214" s="439"/>
      <c r="D214" s="405"/>
      <c r="E214" s="454"/>
      <c r="F214" s="447" t="s">
        <v>149</v>
      </c>
      <c r="G214" s="454"/>
    </row>
    <row r="215" spans="1:7">
      <c r="A215" s="405" t="s">
        <v>338</v>
      </c>
      <c r="B215" s="451" t="s">
        <v>120</v>
      </c>
      <c r="C215" s="439"/>
      <c r="D215" s="405"/>
      <c r="E215" s="454"/>
      <c r="F215" s="447" t="s">
        <v>149</v>
      </c>
      <c r="G215" s="454"/>
    </row>
    <row r="216" spans="1:7">
      <c r="A216" s="436"/>
      <c r="B216" s="455" t="s">
        <v>25</v>
      </c>
      <c r="C216" s="436" t="s">
        <v>78</v>
      </c>
      <c r="D216" s="436"/>
      <c r="E216" s="457"/>
      <c r="F216" s="436" t="s">
        <v>106</v>
      </c>
      <c r="G216" s="436" t="s">
        <v>339</v>
      </c>
    </row>
    <row r="217" spans="1:7">
      <c r="A217" s="405" t="s">
        <v>340</v>
      </c>
      <c r="B217" s="428" t="s">
        <v>341</v>
      </c>
      <c r="C217" s="515">
        <v>0</v>
      </c>
      <c r="D217" s="405"/>
      <c r="E217" s="454"/>
      <c r="F217" s="447">
        <v>0</v>
      </c>
      <c r="G217" s="447" t="s">
        <v>149</v>
      </c>
    </row>
    <row r="218" spans="1:7">
      <c r="A218" s="405" t="s">
        <v>342</v>
      </c>
      <c r="B218" s="428" t="s">
        <v>343</v>
      </c>
      <c r="C218" s="515">
        <v>318776212.56</v>
      </c>
      <c r="D218" s="405"/>
      <c r="E218" s="454"/>
      <c r="F218" s="447">
        <v>2.8339345627461186E-2</v>
      </c>
      <c r="G218" s="447"/>
    </row>
    <row r="219" spans="1:7">
      <c r="A219" s="405" t="s">
        <v>344</v>
      </c>
      <c r="B219" s="428" t="s">
        <v>116</v>
      </c>
      <c r="C219" s="515">
        <v>0</v>
      </c>
      <c r="D219" s="405"/>
      <c r="E219" s="454"/>
      <c r="F219" s="447">
        <v>0</v>
      </c>
      <c r="G219" s="447" t="s">
        <v>149</v>
      </c>
    </row>
    <row r="220" spans="1:7">
      <c r="A220" s="405" t="s">
        <v>345</v>
      </c>
      <c r="B220" s="449" t="s">
        <v>118</v>
      </c>
      <c r="C220" s="515">
        <v>318776212.56</v>
      </c>
      <c r="D220" s="405"/>
      <c r="E220" s="454"/>
      <c r="F220" s="447">
        <v>2.8339345627461186E-2</v>
      </c>
      <c r="G220" s="442"/>
    </row>
    <row r="221" spans="1:7">
      <c r="A221" s="405" t="s">
        <v>346</v>
      </c>
      <c r="B221" s="451" t="s">
        <v>120</v>
      </c>
      <c r="C221" s="439"/>
      <c r="D221" s="405"/>
      <c r="E221" s="454"/>
      <c r="F221" s="447"/>
      <c r="G221" s="447" t="s">
        <v>149</v>
      </c>
    </row>
    <row r="222" spans="1:7">
      <c r="A222" s="405" t="s">
        <v>347</v>
      </c>
      <c r="B222" s="451" t="s">
        <v>120</v>
      </c>
      <c r="C222" s="439"/>
      <c r="D222" s="405"/>
      <c r="E222" s="454"/>
      <c r="F222" s="447"/>
      <c r="G222" s="447" t="s">
        <v>149</v>
      </c>
    </row>
    <row r="223" spans="1:7">
      <c r="A223" s="405" t="s">
        <v>348</v>
      </c>
      <c r="B223" s="451" t="s">
        <v>120</v>
      </c>
      <c r="C223" s="439"/>
      <c r="D223" s="405"/>
      <c r="E223" s="454"/>
      <c r="F223" s="447"/>
      <c r="G223" s="447" t="s">
        <v>149</v>
      </c>
    </row>
    <row r="224" spans="1:7">
      <c r="A224" s="405" t="s">
        <v>349</v>
      </c>
      <c r="B224" s="451" t="s">
        <v>120</v>
      </c>
      <c r="C224" s="439"/>
      <c r="D224" s="405"/>
      <c r="E224" s="454"/>
      <c r="F224" s="447"/>
      <c r="G224" s="447" t="s">
        <v>149</v>
      </c>
    </row>
    <row r="225" spans="1:7">
      <c r="A225" s="405" t="s">
        <v>350</v>
      </c>
      <c r="B225" s="451" t="s">
        <v>120</v>
      </c>
      <c r="C225" s="439"/>
      <c r="D225" s="405"/>
      <c r="E225" s="454"/>
      <c r="F225" s="447"/>
      <c r="G225" s="447" t="s">
        <v>149</v>
      </c>
    </row>
    <row r="226" spans="1:7">
      <c r="A226" s="405" t="s">
        <v>351</v>
      </c>
      <c r="B226" s="451" t="s">
        <v>120</v>
      </c>
      <c r="C226" s="439"/>
      <c r="D226" s="405"/>
      <c r="E226" s="428"/>
      <c r="F226" s="447"/>
      <c r="G226" s="447" t="s">
        <v>149</v>
      </c>
    </row>
    <row r="227" spans="1:7">
      <c r="A227" s="405" t="s">
        <v>352</v>
      </c>
      <c r="B227" s="451" t="s">
        <v>120</v>
      </c>
      <c r="C227" s="439"/>
      <c r="D227" s="405"/>
      <c r="E227" s="454"/>
      <c r="F227" s="447"/>
      <c r="G227" s="447" t="s">
        <v>149</v>
      </c>
    </row>
    <row r="228" spans="1:7">
      <c r="A228" s="436"/>
      <c r="B228" s="455" t="s">
        <v>353</v>
      </c>
      <c r="C228" s="436"/>
      <c r="D228" s="436"/>
      <c r="E228" s="457"/>
      <c r="F228" s="436"/>
      <c r="G228" s="436"/>
    </row>
    <row r="229" spans="1:7">
      <c r="A229" s="405" t="s">
        <v>354</v>
      </c>
      <c r="B229" s="428" t="s">
        <v>355</v>
      </c>
      <c r="C229" s="509" t="s">
        <v>4651</v>
      </c>
      <c r="D229" s="405"/>
      <c r="E229" s="405"/>
      <c r="F229" s="405"/>
    </row>
    <row r="230" spans="1:7">
      <c r="A230" s="436"/>
      <c r="B230" s="455" t="s">
        <v>356</v>
      </c>
      <c r="C230" s="436"/>
      <c r="D230" s="436"/>
      <c r="E230" s="457"/>
      <c r="F230" s="436"/>
      <c r="G230" s="436"/>
    </row>
    <row r="231" spans="1:7">
      <c r="A231" s="405" t="s">
        <v>357</v>
      </c>
      <c r="B231" s="405" t="s">
        <v>358</v>
      </c>
      <c r="C231" s="405"/>
      <c r="D231" s="405"/>
      <c r="E231" s="428"/>
      <c r="F231" s="405"/>
    </row>
    <row r="232" spans="1:7">
      <c r="A232" s="405" t="s">
        <v>359</v>
      </c>
      <c r="B232" s="469" t="s">
        <v>360</v>
      </c>
      <c r="C232" s="405"/>
      <c r="D232" s="405"/>
      <c r="E232" s="428"/>
      <c r="F232" s="405"/>
    </row>
    <row r="233" spans="1:7">
      <c r="A233" s="405" t="s">
        <v>361</v>
      </c>
      <c r="B233" s="469" t="s">
        <v>362</v>
      </c>
      <c r="C233" s="405"/>
      <c r="D233" s="405"/>
      <c r="E233" s="428"/>
      <c r="F233" s="405"/>
    </row>
    <row r="234" spans="1:7">
      <c r="A234" s="405" t="s">
        <v>363</v>
      </c>
      <c r="B234" s="426" t="s">
        <v>364</v>
      </c>
      <c r="C234" s="461"/>
      <c r="D234" s="428"/>
      <c r="E234" s="428"/>
      <c r="F234" s="405"/>
    </row>
    <row r="235" spans="1:7">
      <c r="A235" s="405" t="s">
        <v>365</v>
      </c>
      <c r="B235" s="426" t="s">
        <v>366</v>
      </c>
      <c r="C235" s="461"/>
      <c r="D235" s="428"/>
      <c r="E235" s="428"/>
      <c r="F235" s="405"/>
    </row>
    <row r="236" spans="1:7">
      <c r="A236" s="405" t="s">
        <v>367</v>
      </c>
      <c r="B236" s="426" t="s">
        <v>368</v>
      </c>
      <c r="C236" s="428"/>
      <c r="D236" s="428"/>
      <c r="E236" s="428"/>
      <c r="F236" s="405"/>
    </row>
    <row r="237" spans="1:7">
      <c r="A237" s="405" t="s">
        <v>369</v>
      </c>
      <c r="B237" s="405"/>
      <c r="C237" s="428"/>
      <c r="D237" s="428"/>
      <c r="E237" s="428"/>
      <c r="F237" s="405"/>
    </row>
    <row r="238" spans="1:7">
      <c r="A238" s="405" t="s">
        <v>370</v>
      </c>
      <c r="B238" s="405"/>
      <c r="C238" s="428"/>
      <c r="D238" s="428"/>
      <c r="E238" s="428"/>
      <c r="F238" s="405"/>
    </row>
    <row r="239" spans="1:7">
      <c r="A239" s="436"/>
      <c r="B239" s="455" t="s">
        <v>371</v>
      </c>
      <c r="C239" s="436"/>
      <c r="D239" s="436"/>
      <c r="E239" s="457"/>
      <c r="F239" s="436"/>
      <c r="G239" s="436"/>
    </row>
    <row r="240" spans="1:7" ht="30">
      <c r="A240" s="405" t="s">
        <v>372</v>
      </c>
      <c r="B240" s="405" t="s">
        <v>373</v>
      </c>
      <c r="C240" s="469" t="s">
        <v>65</v>
      </c>
      <c r="D240" s="407"/>
      <c r="E240" s="407"/>
      <c r="F240" s="407"/>
      <c r="G240" s="407"/>
    </row>
    <row r="241" spans="1:7" ht="30">
      <c r="A241" s="405" t="s">
        <v>374</v>
      </c>
      <c r="B241" s="405" t="s">
        <v>375</v>
      </c>
      <c r="C241" s="469" t="s">
        <v>376</v>
      </c>
      <c r="D241" s="407"/>
      <c r="E241" s="407"/>
      <c r="F241" s="407"/>
      <c r="G241" s="407"/>
    </row>
    <row r="242" spans="1:7">
      <c r="A242" s="405" t="s">
        <v>377</v>
      </c>
      <c r="B242" s="405" t="s">
        <v>378</v>
      </c>
      <c r="C242" s="405" t="s">
        <v>379</v>
      </c>
      <c r="D242" s="407"/>
      <c r="E242" s="407"/>
      <c r="F242" s="407"/>
      <c r="G242" s="407"/>
    </row>
    <row r="243" spans="1:7">
      <c r="A243" s="405" t="s">
        <v>380</v>
      </c>
      <c r="B243" s="405" t="s">
        <v>381</v>
      </c>
      <c r="C243" s="536" t="s">
        <v>382</v>
      </c>
      <c r="D243" s="407"/>
      <c r="E243" s="407"/>
      <c r="F243" s="407"/>
      <c r="G243" s="407"/>
    </row>
    <row r="244" spans="1:7">
      <c r="A244" s="405" t="s">
        <v>383</v>
      </c>
      <c r="B244" s="405"/>
      <c r="C244" s="405"/>
      <c r="D244" s="407"/>
      <c r="E244" s="407"/>
      <c r="F244" s="407"/>
      <c r="G244" s="407"/>
    </row>
    <row r="245" spans="1:7">
      <c r="A245" s="405" t="s">
        <v>384</v>
      </c>
      <c r="B245" s="405"/>
      <c r="C245" s="405"/>
      <c r="D245" s="407"/>
      <c r="E245" s="407"/>
      <c r="F245" s="407"/>
      <c r="G245" s="407"/>
    </row>
    <row r="246" spans="1:7">
      <c r="A246" s="405" t="s">
        <v>385</v>
      </c>
      <c r="B246" s="405"/>
      <c r="C246" s="405"/>
      <c r="D246" s="407"/>
      <c r="E246" s="407"/>
      <c r="F246" s="407"/>
      <c r="G246" s="407"/>
    </row>
    <row r="247" spans="1:7">
      <c r="A247" s="405" t="s">
        <v>386</v>
      </c>
      <c r="B247" s="405"/>
      <c r="C247" s="405"/>
      <c r="D247" s="407"/>
      <c r="E247" s="407"/>
      <c r="F247" s="407"/>
      <c r="G247" s="407"/>
    </row>
    <row r="248" spans="1:7">
      <c r="A248" s="405" t="s">
        <v>387</v>
      </c>
      <c r="B248" s="405"/>
      <c r="C248" s="405"/>
      <c r="D248" s="407"/>
      <c r="E248" s="407"/>
      <c r="F248" s="407"/>
      <c r="G248" s="407"/>
    </row>
    <row r="249" spans="1:7">
      <c r="A249" s="405" t="s">
        <v>388</v>
      </c>
      <c r="B249" s="405"/>
      <c r="C249" s="405"/>
      <c r="D249" s="407"/>
      <c r="E249" s="407"/>
      <c r="F249" s="407"/>
      <c r="G249" s="407"/>
    </row>
    <row r="250" spans="1:7">
      <c r="A250" s="405" t="s">
        <v>389</v>
      </c>
      <c r="B250" s="405"/>
      <c r="C250" s="405"/>
      <c r="D250" s="407"/>
      <c r="E250" s="407"/>
      <c r="F250" s="407"/>
      <c r="G250" s="407"/>
    </row>
    <row r="251" spans="1:7">
      <c r="A251" s="405" t="s">
        <v>390</v>
      </c>
      <c r="B251" s="405"/>
      <c r="C251" s="405"/>
      <c r="D251" s="407"/>
      <c r="E251" s="407"/>
      <c r="F251" s="407"/>
      <c r="G251" s="407"/>
    </row>
    <row r="252" spans="1:7">
      <c r="A252" s="405" t="s">
        <v>391</v>
      </c>
      <c r="B252" s="405"/>
      <c r="C252" s="405"/>
      <c r="D252" s="407"/>
      <c r="E252" s="407"/>
      <c r="F252" s="407"/>
      <c r="G252" s="407"/>
    </row>
    <row r="253" spans="1:7">
      <c r="A253" s="405" t="s">
        <v>392</v>
      </c>
      <c r="B253" s="405"/>
      <c r="C253" s="405"/>
      <c r="D253" s="407"/>
      <c r="E253" s="407"/>
      <c r="F253" s="407"/>
      <c r="G253" s="407"/>
    </row>
    <row r="254" spans="1:7">
      <c r="A254" s="405" t="s">
        <v>393</v>
      </c>
      <c r="B254" s="405"/>
      <c r="C254" s="405"/>
      <c r="D254" s="407"/>
      <c r="E254" s="407"/>
      <c r="F254" s="407"/>
      <c r="G254" s="407"/>
    </row>
    <row r="255" spans="1:7">
      <c r="A255" s="405" t="s">
        <v>394</v>
      </c>
      <c r="B255" s="405"/>
      <c r="C255" s="405"/>
      <c r="D255" s="407"/>
      <c r="E255" s="407"/>
      <c r="F255" s="407"/>
      <c r="G255" s="407"/>
    </row>
    <row r="256" spans="1:7">
      <c r="A256" s="405" t="s">
        <v>395</v>
      </c>
      <c r="B256" s="405"/>
      <c r="C256" s="405"/>
      <c r="D256" s="407"/>
      <c r="E256" s="407"/>
      <c r="F256" s="407"/>
      <c r="G256" s="407"/>
    </row>
    <row r="257" spans="1:7">
      <c r="A257" s="405" t="s">
        <v>396</v>
      </c>
      <c r="B257" s="405"/>
      <c r="C257" s="405"/>
      <c r="D257" s="407"/>
      <c r="E257" s="407"/>
      <c r="F257" s="407"/>
      <c r="G257" s="407"/>
    </row>
    <row r="258" spans="1:7">
      <c r="A258" s="405" t="s">
        <v>397</v>
      </c>
      <c r="B258" s="405"/>
      <c r="C258" s="405"/>
      <c r="D258" s="407"/>
      <c r="E258" s="407"/>
      <c r="F258" s="407"/>
      <c r="G258" s="407"/>
    </row>
    <row r="259" spans="1:7">
      <c r="A259" s="405" t="s">
        <v>398</v>
      </c>
      <c r="B259" s="405"/>
      <c r="C259" s="405"/>
      <c r="D259" s="407"/>
      <c r="E259" s="407"/>
      <c r="F259" s="407"/>
      <c r="G259" s="407"/>
    </row>
    <row r="260" spans="1:7">
      <c r="A260" s="405" t="s">
        <v>399</v>
      </c>
      <c r="B260" s="405"/>
      <c r="C260" s="405"/>
      <c r="D260" s="407"/>
      <c r="E260" s="407"/>
      <c r="F260" s="407"/>
      <c r="G260" s="407"/>
    </row>
    <row r="261" spans="1:7">
      <c r="A261" s="405" t="s">
        <v>400</v>
      </c>
      <c r="B261" s="405"/>
      <c r="C261" s="405"/>
      <c r="D261" s="407"/>
      <c r="E261" s="407"/>
      <c r="F261" s="407"/>
      <c r="G261" s="407"/>
    </row>
    <row r="262" spans="1:7">
      <c r="A262" s="405" t="s">
        <v>401</v>
      </c>
      <c r="B262" s="405"/>
      <c r="C262" s="405"/>
      <c r="D262" s="407"/>
      <c r="E262" s="407"/>
      <c r="F262" s="407"/>
      <c r="G262" s="407"/>
    </row>
    <row r="263" spans="1:7">
      <c r="A263" s="405" t="s">
        <v>402</v>
      </c>
      <c r="B263" s="405"/>
      <c r="C263" s="405"/>
      <c r="D263" s="407"/>
      <c r="E263" s="407"/>
      <c r="F263" s="407"/>
      <c r="G263" s="407"/>
    </row>
    <row r="264" spans="1:7">
      <c r="A264" s="405" t="s">
        <v>403</v>
      </c>
      <c r="B264" s="405"/>
      <c r="C264" s="405"/>
      <c r="D264" s="407"/>
      <c r="E264" s="407"/>
      <c r="F264" s="407"/>
      <c r="G264" s="407"/>
    </row>
    <row r="265" spans="1:7">
      <c r="A265" s="405" t="s">
        <v>404</v>
      </c>
      <c r="B265" s="405"/>
      <c r="C265" s="405"/>
      <c r="D265" s="407"/>
      <c r="E265" s="407"/>
      <c r="F265" s="407"/>
      <c r="G265" s="407"/>
    </row>
    <row r="266" spans="1:7">
      <c r="A266" s="405" t="s">
        <v>405</v>
      </c>
      <c r="B266" s="405"/>
      <c r="C266" s="405"/>
      <c r="D266" s="407"/>
      <c r="E266" s="407"/>
      <c r="F266" s="407"/>
      <c r="G266" s="407"/>
    </row>
    <row r="267" spans="1:7">
      <c r="A267" s="405" t="s">
        <v>406</v>
      </c>
      <c r="B267" s="405"/>
      <c r="C267" s="405"/>
      <c r="D267" s="407"/>
      <c r="E267" s="407"/>
      <c r="F267" s="407"/>
      <c r="G267" s="407"/>
    </row>
    <row r="268" spans="1:7">
      <c r="A268" s="405" t="s">
        <v>407</v>
      </c>
      <c r="B268" s="405"/>
      <c r="C268" s="405"/>
      <c r="D268" s="407"/>
      <c r="E268" s="407"/>
      <c r="F268" s="407"/>
      <c r="G268" s="407"/>
    </row>
    <row r="269" spans="1:7">
      <c r="A269" s="405" t="s">
        <v>408</v>
      </c>
      <c r="B269" s="405"/>
      <c r="C269" s="405"/>
      <c r="D269" s="407"/>
      <c r="E269" s="407"/>
      <c r="F269" s="407"/>
      <c r="G269" s="407"/>
    </row>
    <row r="270" spans="1:7">
      <c r="A270" s="405" t="s">
        <v>409</v>
      </c>
      <c r="B270" s="405"/>
      <c r="C270" s="405"/>
      <c r="D270" s="407"/>
      <c r="E270" s="407"/>
      <c r="F270" s="407"/>
      <c r="G270" s="407"/>
    </row>
    <row r="271" spans="1:7">
      <c r="A271" s="405" t="s">
        <v>410</v>
      </c>
      <c r="B271" s="405"/>
      <c r="C271" s="405"/>
      <c r="D271" s="407"/>
      <c r="E271" s="407"/>
      <c r="F271" s="407"/>
      <c r="G271" s="407"/>
    </row>
    <row r="272" spans="1:7">
      <c r="A272" s="405" t="s">
        <v>411</v>
      </c>
      <c r="B272" s="405"/>
      <c r="C272" s="405"/>
      <c r="D272" s="407"/>
      <c r="E272" s="407"/>
      <c r="F272" s="407"/>
      <c r="G272" s="407"/>
    </row>
    <row r="273" spans="1:7">
      <c r="A273" s="405" t="s">
        <v>412</v>
      </c>
      <c r="B273" s="405"/>
      <c r="C273" s="405"/>
      <c r="D273" s="407"/>
      <c r="E273" s="407"/>
      <c r="F273" s="407"/>
      <c r="G273" s="407"/>
    </row>
    <row r="274" spans="1:7">
      <c r="A274" s="405" t="s">
        <v>413</v>
      </c>
      <c r="B274" s="405"/>
      <c r="C274" s="405"/>
      <c r="D274" s="407"/>
      <c r="E274" s="407"/>
      <c r="F274" s="407"/>
      <c r="G274" s="407"/>
    </row>
    <row r="275" spans="1:7">
      <c r="A275" s="405" t="s">
        <v>414</v>
      </c>
      <c r="B275" s="405"/>
      <c r="C275" s="405"/>
      <c r="D275" s="407"/>
      <c r="E275" s="407"/>
      <c r="F275" s="407"/>
      <c r="G275" s="407"/>
    </row>
    <row r="276" spans="1:7">
      <c r="A276" s="405" t="s">
        <v>415</v>
      </c>
      <c r="B276" s="405"/>
      <c r="C276" s="405"/>
      <c r="D276" s="407"/>
      <c r="E276" s="407"/>
      <c r="F276" s="407"/>
      <c r="G276" s="407"/>
    </row>
    <row r="277" spans="1:7">
      <c r="A277" s="405" t="s">
        <v>416</v>
      </c>
      <c r="B277" s="405"/>
      <c r="C277" s="405"/>
      <c r="D277" s="407"/>
      <c r="E277" s="407"/>
      <c r="F277" s="407"/>
      <c r="G277" s="407"/>
    </row>
    <row r="278" spans="1:7">
      <c r="A278" s="405" t="s">
        <v>417</v>
      </c>
      <c r="B278" s="405"/>
      <c r="C278" s="405"/>
      <c r="D278" s="407"/>
      <c r="E278" s="407"/>
      <c r="F278" s="407"/>
      <c r="G278" s="407"/>
    </row>
    <row r="279" spans="1:7">
      <c r="A279" s="405" t="s">
        <v>418</v>
      </c>
      <c r="B279" s="405"/>
      <c r="C279" s="405"/>
      <c r="D279" s="407"/>
      <c r="E279" s="407"/>
      <c r="F279" s="407"/>
      <c r="G279" s="407"/>
    </row>
    <row r="280" spans="1:7">
      <c r="A280" s="405" t="s">
        <v>419</v>
      </c>
      <c r="B280" s="405"/>
      <c r="C280" s="405"/>
      <c r="D280" s="407"/>
      <c r="E280" s="407"/>
      <c r="F280" s="407"/>
      <c r="G280" s="407"/>
    </row>
    <row r="281" spans="1:7">
      <c r="A281" s="405" t="s">
        <v>420</v>
      </c>
      <c r="B281" s="405"/>
      <c r="C281" s="405"/>
      <c r="D281" s="407"/>
      <c r="E281" s="407"/>
      <c r="F281" s="407"/>
      <c r="G281" s="407"/>
    </row>
    <row r="282" spans="1:7">
      <c r="A282" s="405" t="s">
        <v>421</v>
      </c>
      <c r="B282" s="405"/>
      <c r="C282" s="405"/>
      <c r="D282" s="407"/>
      <c r="E282" s="407"/>
      <c r="F282" s="407"/>
      <c r="G282" s="407"/>
    </row>
    <row r="283" spans="1:7">
      <c r="A283" s="405" t="s">
        <v>422</v>
      </c>
      <c r="B283" s="405"/>
      <c r="C283" s="405"/>
      <c r="D283" s="407"/>
      <c r="E283" s="407"/>
      <c r="F283" s="407"/>
      <c r="G283" s="407"/>
    </row>
    <row r="284" spans="1:7">
      <c r="A284" s="405" t="s">
        <v>423</v>
      </c>
      <c r="B284" s="405"/>
      <c r="C284" s="405"/>
      <c r="D284" s="407"/>
      <c r="E284" s="407"/>
      <c r="F284" s="407"/>
      <c r="G284" s="407"/>
    </row>
    <row r="285" spans="1:7" ht="37.5">
      <c r="A285" s="420"/>
      <c r="B285" s="420" t="s">
        <v>424</v>
      </c>
      <c r="C285" s="420" t="s">
        <v>425</v>
      </c>
      <c r="D285" s="420" t="s">
        <v>425</v>
      </c>
      <c r="E285" s="420"/>
      <c r="F285" s="421"/>
      <c r="G285" s="422"/>
    </row>
    <row r="286" spans="1:7">
      <c r="A286" s="470" t="s">
        <v>426</v>
      </c>
      <c r="B286" s="471"/>
      <c r="C286" s="471"/>
      <c r="D286" s="471"/>
      <c r="E286" s="471"/>
      <c r="F286" s="472"/>
      <c r="G286" s="471"/>
    </row>
    <row r="287" spans="1:7">
      <c r="A287" s="470" t="s">
        <v>427</v>
      </c>
      <c r="B287" s="471"/>
      <c r="C287" s="471"/>
      <c r="D287" s="471"/>
      <c r="E287" s="471"/>
      <c r="F287" s="472"/>
      <c r="G287" s="471"/>
    </row>
    <row r="288" spans="1:7">
      <c r="A288" s="412" t="s">
        <v>428</v>
      </c>
      <c r="B288" s="427" t="s">
        <v>429</v>
      </c>
      <c r="C288" s="430"/>
      <c r="D288" s="473"/>
      <c r="E288" s="473"/>
      <c r="F288" s="473"/>
      <c r="G288" s="473"/>
    </row>
    <row r="289" spans="1:7">
      <c r="A289" s="412" t="s">
        <v>430</v>
      </c>
      <c r="B289" s="427" t="s">
        <v>431</v>
      </c>
      <c r="C289" s="430"/>
      <c r="E289" s="473"/>
      <c r="F289" s="473"/>
    </row>
    <row r="290" spans="1:7">
      <c r="A290" s="412" t="s">
        <v>432</v>
      </c>
      <c r="B290" s="427" t="s">
        <v>433</v>
      </c>
      <c r="C290" s="430"/>
      <c r="D290" s="430"/>
      <c r="E290" s="474"/>
      <c r="F290" s="473"/>
      <c r="G290" s="474"/>
    </row>
    <row r="291" spans="1:7">
      <c r="A291" s="412" t="s">
        <v>434</v>
      </c>
      <c r="B291" s="427" t="s">
        <v>435</v>
      </c>
      <c r="C291" s="430"/>
    </row>
    <row r="292" spans="1:7">
      <c r="A292" s="412" t="s">
        <v>436</v>
      </c>
      <c r="B292" s="427" t="s">
        <v>437</v>
      </c>
      <c r="C292" s="475"/>
      <c r="D292" s="430"/>
      <c r="E292" s="474"/>
      <c r="F292" s="430"/>
      <c r="G292" s="474"/>
    </row>
    <row r="293" spans="1:7">
      <c r="A293" s="412" t="s">
        <v>438</v>
      </c>
      <c r="B293" s="427" t="s">
        <v>439</v>
      </c>
      <c r="C293" s="430"/>
      <c r="D293" s="430"/>
    </row>
    <row r="294" spans="1:7">
      <c r="A294" s="412" t="s">
        <v>440</v>
      </c>
      <c r="B294" s="427" t="s">
        <v>441</v>
      </c>
      <c r="C294" s="430"/>
      <c r="F294" s="474"/>
    </row>
    <row r="295" spans="1:7">
      <c r="A295" s="412" t="s">
        <v>442</v>
      </c>
      <c r="B295" s="427" t="s">
        <v>443</v>
      </c>
      <c r="C295" s="430"/>
      <c r="E295" s="474"/>
      <c r="F295" s="474"/>
    </row>
    <row r="296" spans="1:7">
      <c r="A296" s="412" t="s">
        <v>444</v>
      </c>
      <c r="B296" s="427" t="s">
        <v>445</v>
      </c>
      <c r="C296" s="430"/>
      <c r="E296" s="474"/>
      <c r="F296" s="474"/>
    </row>
    <row r="297" spans="1:7">
      <c r="A297" s="412" t="s">
        <v>446</v>
      </c>
      <c r="B297" s="427" t="s">
        <v>447</v>
      </c>
      <c r="C297" s="430"/>
      <c r="E297" s="474"/>
    </row>
    <row r="298" spans="1:7">
      <c r="A298" s="412" t="s">
        <v>448</v>
      </c>
      <c r="B298" s="427" t="s">
        <v>449</v>
      </c>
      <c r="C298" s="430"/>
      <c r="E298" s="474"/>
    </row>
    <row r="299" spans="1:7">
      <c r="A299" s="412" t="s">
        <v>450</v>
      </c>
      <c r="B299" s="427" t="s">
        <v>451</v>
      </c>
      <c r="C299" s="430"/>
      <c r="D299" s="430"/>
      <c r="E299" s="474"/>
    </row>
    <row r="300" spans="1:7">
      <c r="A300" s="412" t="s">
        <v>452</v>
      </c>
      <c r="B300" s="427"/>
      <c r="C300" s="430"/>
      <c r="D300" s="430"/>
      <c r="E300" s="474"/>
    </row>
    <row r="301" spans="1:7">
      <c r="A301" s="412" t="s">
        <v>453</v>
      </c>
      <c r="B301" s="427"/>
      <c r="C301" s="430"/>
      <c r="D301" s="430"/>
      <c r="E301" s="474"/>
    </row>
    <row r="302" spans="1:7">
      <c r="A302" s="412" t="s">
        <v>454</v>
      </c>
      <c r="B302" s="427"/>
      <c r="C302" s="430"/>
      <c r="D302" s="430"/>
      <c r="E302" s="474"/>
    </row>
    <row r="303" spans="1:7">
      <c r="A303" s="412" t="s">
        <v>455</v>
      </c>
      <c r="B303" s="427"/>
      <c r="C303" s="430"/>
      <c r="D303" s="430"/>
      <c r="E303" s="474"/>
    </row>
    <row r="304" spans="1:7">
      <c r="A304" s="412" t="s">
        <v>456</v>
      </c>
      <c r="B304" s="427"/>
      <c r="C304" s="430"/>
      <c r="D304" s="430"/>
      <c r="E304" s="474"/>
    </row>
    <row r="305" spans="1:7">
      <c r="A305" s="412" t="s">
        <v>457</v>
      </c>
      <c r="B305" s="427"/>
      <c r="C305" s="430"/>
      <c r="D305" s="430"/>
      <c r="E305" s="474"/>
    </row>
    <row r="306" spans="1:7">
      <c r="A306" s="412" t="s">
        <v>458</v>
      </c>
      <c r="B306" s="427"/>
      <c r="C306" s="430"/>
      <c r="D306" s="430"/>
      <c r="E306" s="474"/>
    </row>
    <row r="307" spans="1:7">
      <c r="A307" s="412" t="s">
        <v>459</v>
      </c>
      <c r="B307" s="427"/>
      <c r="C307" s="430"/>
      <c r="D307" s="430"/>
      <c r="E307" s="474"/>
    </row>
    <row r="308" spans="1:7">
      <c r="A308" s="412" t="s">
        <v>460</v>
      </c>
      <c r="B308" s="427"/>
      <c r="C308" s="430"/>
      <c r="D308" s="430"/>
      <c r="E308" s="474"/>
    </row>
    <row r="309" spans="1:7">
      <c r="A309" s="412" t="s">
        <v>461</v>
      </c>
    </row>
    <row r="310" spans="1:7" ht="37.5">
      <c r="A310" s="421"/>
      <c r="B310" s="420" t="s">
        <v>39</v>
      </c>
      <c r="C310" s="421"/>
      <c r="D310" s="421"/>
      <c r="E310" s="421"/>
      <c r="F310" s="421"/>
      <c r="G310" s="422"/>
    </row>
    <row r="311" spans="1:7">
      <c r="A311" s="412" t="s">
        <v>462</v>
      </c>
      <c r="B311" s="476" t="s">
        <v>463</v>
      </c>
    </row>
    <row r="312" spans="1:7">
      <c r="A312" s="412" t="s">
        <v>464</v>
      </c>
      <c r="B312" s="476"/>
      <c r="C312" s="430"/>
    </row>
    <row r="313" spans="1:7">
      <c r="A313" s="412" t="s">
        <v>465</v>
      </c>
      <c r="B313" s="476"/>
      <c r="C313" s="430"/>
    </row>
    <row r="314" spans="1:7">
      <c r="A314" s="412" t="s">
        <v>466</v>
      </c>
      <c r="B314" s="476"/>
      <c r="C314" s="430"/>
    </row>
    <row r="315" spans="1:7">
      <c r="A315" s="412" t="s">
        <v>467</v>
      </c>
      <c r="B315" s="476"/>
      <c r="C315" s="430"/>
    </row>
    <row r="316" spans="1:7">
      <c r="A316" s="412" t="s">
        <v>468</v>
      </c>
      <c r="B316" s="476"/>
      <c r="C316" s="430"/>
    </row>
    <row r="317" spans="1:7">
      <c r="A317" s="412" t="s">
        <v>469</v>
      </c>
      <c r="B317" s="476"/>
      <c r="C317" s="430"/>
    </row>
    <row r="318" spans="1:7" ht="18.75">
      <c r="A318" s="421"/>
      <c r="B318" s="420" t="s">
        <v>40</v>
      </c>
      <c r="C318" s="421"/>
      <c r="D318" s="421"/>
      <c r="E318" s="421"/>
      <c r="F318" s="421"/>
      <c r="G318" s="422"/>
    </row>
    <row r="319" spans="1:7">
      <c r="A319" s="433"/>
      <c r="B319" s="434" t="s">
        <v>470</v>
      </c>
      <c r="C319" s="433"/>
      <c r="D319" s="433"/>
      <c r="E319" s="435"/>
      <c r="F319" s="436"/>
      <c r="G319" s="436"/>
    </row>
    <row r="320" spans="1:7">
      <c r="A320" s="412" t="s">
        <v>471</v>
      </c>
      <c r="B320" s="427" t="s">
        <v>472</v>
      </c>
      <c r="C320" s="427"/>
    </row>
    <row r="321" spans="1:3">
      <c r="A321" s="412" t="s">
        <v>473</v>
      </c>
      <c r="B321" s="427" t="s">
        <v>474</v>
      </c>
      <c r="C321" s="427"/>
    </row>
    <row r="322" spans="1:3">
      <c r="A322" s="412" t="s">
        <v>475</v>
      </c>
      <c r="B322" s="427" t="s">
        <v>476</v>
      </c>
      <c r="C322" s="427"/>
    </row>
    <row r="323" spans="1:3">
      <c r="A323" s="412" t="s">
        <v>477</v>
      </c>
      <c r="B323" s="427" t="s">
        <v>478</v>
      </c>
    </row>
    <row r="324" spans="1:3">
      <c r="A324" s="412" t="s">
        <v>479</v>
      </c>
      <c r="B324" s="427" t="s">
        <v>480</v>
      </c>
    </row>
    <row r="325" spans="1:3">
      <c r="A325" s="412" t="s">
        <v>481</v>
      </c>
      <c r="B325" s="427" t="s">
        <v>482</v>
      </c>
    </row>
    <row r="326" spans="1:3">
      <c r="A326" s="412" t="s">
        <v>483</v>
      </c>
      <c r="B326" s="427" t="s">
        <v>484</v>
      </c>
    </row>
    <row r="327" spans="1:3">
      <c r="A327" s="412" t="s">
        <v>485</v>
      </c>
      <c r="B327" s="427" t="s">
        <v>486</v>
      </c>
    </row>
    <row r="328" spans="1:3">
      <c r="A328" s="412" t="s">
        <v>487</v>
      </c>
      <c r="B328" s="427" t="s">
        <v>488</v>
      </c>
    </row>
    <row r="329" spans="1:3" ht="30">
      <c r="A329" s="412" t="s">
        <v>489</v>
      </c>
      <c r="B329" s="477" t="s">
        <v>4652</v>
      </c>
      <c r="C329" s="513">
        <v>0</v>
      </c>
    </row>
    <row r="330" spans="1:3" ht="30">
      <c r="A330" s="412" t="s">
        <v>491</v>
      </c>
      <c r="B330" s="477" t="s">
        <v>4653</v>
      </c>
      <c r="C330" s="513">
        <v>0</v>
      </c>
    </row>
    <row r="331" spans="1:3">
      <c r="A331" s="412" t="s">
        <v>492</v>
      </c>
      <c r="B331" s="477" t="s">
        <v>490</v>
      </c>
    </row>
    <row r="332" spans="1:3">
      <c r="A332" s="412" t="s">
        <v>493</v>
      </c>
      <c r="B332" s="477" t="s">
        <v>490</v>
      </c>
    </row>
    <row r="333" spans="1:3">
      <c r="A333" s="412" t="s">
        <v>494</v>
      </c>
      <c r="B333" s="477" t="s">
        <v>490</v>
      </c>
    </row>
    <row r="334" spans="1:3">
      <c r="A334" s="412" t="s">
        <v>495</v>
      </c>
      <c r="B334" s="477" t="s">
        <v>490</v>
      </c>
    </row>
    <row r="335" spans="1:3">
      <c r="A335" s="412" t="s">
        <v>496</v>
      </c>
      <c r="B335" s="477" t="s">
        <v>490</v>
      </c>
    </row>
    <row r="336" spans="1:3">
      <c r="A336" s="412" t="s">
        <v>497</v>
      </c>
      <c r="B336" s="477" t="s">
        <v>490</v>
      </c>
    </row>
    <row r="337" spans="1:2">
      <c r="A337" s="412" t="s">
        <v>498</v>
      </c>
      <c r="B337" s="477" t="s">
        <v>490</v>
      </c>
    </row>
    <row r="338" spans="1:2">
      <c r="A338" s="412" t="s">
        <v>499</v>
      </c>
      <c r="B338" s="477" t="s">
        <v>490</v>
      </c>
    </row>
    <row r="339" spans="1:2">
      <c r="A339" s="412" t="s">
        <v>500</v>
      </c>
      <c r="B339" s="477" t="s">
        <v>490</v>
      </c>
    </row>
    <row r="340" spans="1:2">
      <c r="A340" s="412" t="s">
        <v>501</v>
      </c>
      <c r="B340" s="477" t="s">
        <v>490</v>
      </c>
    </row>
    <row r="341" spans="1:2">
      <c r="A341" s="412" t="s">
        <v>502</v>
      </c>
      <c r="B341" s="477" t="s">
        <v>490</v>
      </c>
    </row>
    <row r="342" spans="1:2">
      <c r="A342" s="412" t="s">
        <v>503</v>
      </c>
      <c r="B342" s="477" t="s">
        <v>490</v>
      </c>
    </row>
    <row r="343" spans="1:2">
      <c r="A343" s="412" t="s">
        <v>504</v>
      </c>
      <c r="B343" s="477" t="s">
        <v>490</v>
      </c>
    </row>
    <row r="344" spans="1:2">
      <c r="A344" s="412" t="s">
        <v>505</v>
      </c>
      <c r="B344" s="477" t="s">
        <v>490</v>
      </c>
    </row>
    <row r="345" spans="1:2">
      <c r="A345" s="412" t="s">
        <v>506</v>
      </c>
      <c r="B345" s="477" t="s">
        <v>490</v>
      </c>
    </row>
    <row r="346" spans="1:2">
      <c r="A346" s="412" t="s">
        <v>507</v>
      </c>
      <c r="B346" s="477" t="s">
        <v>490</v>
      </c>
    </row>
    <row r="347" spans="1:2">
      <c r="A347" s="412" t="s">
        <v>508</v>
      </c>
      <c r="B347" s="477" t="s">
        <v>490</v>
      </c>
    </row>
    <row r="348" spans="1:2">
      <c r="A348" s="412" t="s">
        <v>509</v>
      </c>
      <c r="B348" s="477" t="s">
        <v>490</v>
      </c>
    </row>
    <row r="349" spans="1:2">
      <c r="A349" s="412" t="s">
        <v>510</v>
      </c>
      <c r="B349" s="477" t="s">
        <v>490</v>
      </c>
    </row>
    <row r="350" spans="1:2">
      <c r="A350" s="412" t="s">
        <v>511</v>
      </c>
      <c r="B350" s="477" t="s">
        <v>490</v>
      </c>
    </row>
    <row r="351" spans="1:2">
      <c r="A351" s="412" t="s">
        <v>512</v>
      </c>
      <c r="B351" s="477" t="s">
        <v>490</v>
      </c>
    </row>
    <row r="352" spans="1:2">
      <c r="A352" s="412" t="s">
        <v>513</v>
      </c>
      <c r="B352" s="477" t="s">
        <v>490</v>
      </c>
    </row>
    <row r="353" spans="1:7">
      <c r="A353" s="412" t="s">
        <v>514</v>
      </c>
      <c r="B353" s="477" t="s">
        <v>490</v>
      </c>
    </row>
    <row r="354" spans="1:7">
      <c r="A354" s="412" t="s">
        <v>515</v>
      </c>
      <c r="B354" s="477" t="s">
        <v>490</v>
      </c>
    </row>
    <row r="355" spans="1:7">
      <c r="A355" s="412" t="s">
        <v>516</v>
      </c>
      <c r="B355" s="477" t="s">
        <v>490</v>
      </c>
    </row>
    <row r="356" spans="1:7">
      <c r="A356" s="412" t="s">
        <v>517</v>
      </c>
      <c r="B356" s="477" t="s">
        <v>490</v>
      </c>
    </row>
    <row r="357" spans="1:7">
      <c r="A357" s="412" t="s">
        <v>518</v>
      </c>
      <c r="B357" s="477" t="s">
        <v>490</v>
      </c>
    </row>
    <row r="358" spans="1:7">
      <c r="A358" s="412" t="s">
        <v>519</v>
      </c>
      <c r="B358" s="477" t="s">
        <v>490</v>
      </c>
    </row>
    <row r="359" spans="1:7">
      <c r="A359" s="412" t="s">
        <v>520</v>
      </c>
      <c r="B359" s="477" t="s">
        <v>490</v>
      </c>
    </row>
    <row r="360" spans="1:7">
      <c r="A360" s="412" t="s">
        <v>521</v>
      </c>
      <c r="B360" s="477" t="s">
        <v>490</v>
      </c>
    </row>
    <row r="361" spans="1:7">
      <c r="A361" s="412" t="s">
        <v>522</v>
      </c>
      <c r="B361" s="477" t="s">
        <v>490</v>
      </c>
    </row>
    <row r="362" spans="1:7">
      <c r="A362" s="412" t="s">
        <v>523</v>
      </c>
      <c r="B362" s="477" t="s">
        <v>490</v>
      </c>
    </row>
    <row r="363" spans="1:7">
      <c r="A363" s="412" t="s">
        <v>524</v>
      </c>
      <c r="B363" s="477" t="s">
        <v>490</v>
      </c>
    </row>
    <row r="364" spans="1:7">
      <c r="A364" s="412" t="s">
        <v>525</v>
      </c>
      <c r="B364" s="477" t="s">
        <v>490</v>
      </c>
    </row>
    <row r="368" spans="1:7">
      <c r="A368" s="453"/>
      <c r="B368" s="453"/>
      <c r="C368" s="453"/>
      <c r="D368" s="453"/>
      <c r="E368" s="453"/>
      <c r="F368" s="453"/>
      <c r="G368" s="453"/>
    </row>
    <row r="369" spans="1:7">
      <c r="A369" s="453"/>
      <c r="B369" s="453"/>
      <c r="C369" s="453"/>
      <c r="D369" s="453"/>
      <c r="E369" s="453"/>
      <c r="F369" s="453"/>
      <c r="G369" s="453"/>
    </row>
    <row r="370" spans="1:7">
      <c r="A370" s="453"/>
      <c r="B370" s="453"/>
      <c r="C370" s="453"/>
      <c r="D370" s="453"/>
      <c r="E370" s="453"/>
      <c r="F370" s="453"/>
      <c r="G370" s="453"/>
    </row>
    <row r="371" spans="1:7">
      <c r="A371" s="453"/>
      <c r="B371" s="453"/>
      <c r="C371" s="453"/>
      <c r="D371" s="453"/>
      <c r="E371" s="453"/>
      <c r="F371" s="453"/>
      <c r="G371" s="453"/>
    </row>
    <row r="372" spans="1:7">
      <c r="A372" s="453"/>
      <c r="B372" s="453"/>
      <c r="C372" s="453"/>
      <c r="D372" s="453"/>
      <c r="E372" s="453"/>
      <c r="F372" s="453"/>
      <c r="G372" s="453"/>
    </row>
    <row r="373" spans="1:7">
      <c r="A373" s="453"/>
      <c r="B373" s="453"/>
      <c r="C373" s="453"/>
      <c r="D373" s="453"/>
      <c r="E373" s="453"/>
      <c r="F373" s="453"/>
      <c r="G373" s="453"/>
    </row>
    <row r="374" spans="1:7">
      <c r="A374" s="453"/>
      <c r="B374" s="453"/>
      <c r="C374" s="453"/>
      <c r="D374" s="453"/>
      <c r="E374" s="453"/>
      <c r="F374" s="453"/>
      <c r="G374" s="453"/>
    </row>
    <row r="375" spans="1:7">
      <c r="A375" s="453"/>
      <c r="B375" s="453"/>
      <c r="C375" s="453"/>
      <c r="D375" s="453"/>
      <c r="E375" s="453"/>
      <c r="F375" s="453"/>
      <c r="G375" s="453"/>
    </row>
    <row r="376" spans="1:7">
      <c r="A376" s="453"/>
      <c r="B376" s="453"/>
      <c r="C376" s="453"/>
      <c r="D376" s="453"/>
      <c r="E376" s="453"/>
      <c r="F376" s="453"/>
      <c r="G376" s="453"/>
    </row>
    <row r="377" spans="1:7">
      <c r="A377" s="453"/>
      <c r="B377" s="453"/>
      <c r="C377" s="453"/>
      <c r="D377" s="453"/>
      <c r="E377" s="453"/>
      <c r="F377" s="453"/>
      <c r="G377" s="453"/>
    </row>
    <row r="378" spans="1:7">
      <c r="A378" s="453"/>
      <c r="B378" s="453"/>
      <c r="C378" s="453"/>
      <c r="D378" s="453"/>
      <c r="E378" s="453"/>
      <c r="F378" s="453"/>
      <c r="G378" s="453"/>
    </row>
    <row r="379" spans="1:7">
      <c r="A379" s="453"/>
      <c r="B379" s="453"/>
      <c r="C379" s="453"/>
      <c r="D379" s="453"/>
      <c r="E379" s="453"/>
      <c r="F379" s="453"/>
      <c r="G379" s="453"/>
    </row>
    <row r="380" spans="1:7">
      <c r="A380" s="453"/>
      <c r="B380" s="453"/>
      <c r="C380" s="453"/>
      <c r="D380" s="453"/>
      <c r="E380" s="453"/>
      <c r="F380" s="453"/>
      <c r="G380" s="453"/>
    </row>
    <row r="381" spans="1:7">
      <c r="A381" s="453"/>
      <c r="B381" s="453"/>
      <c r="C381" s="453"/>
      <c r="D381" s="453"/>
      <c r="E381" s="453"/>
      <c r="F381" s="453"/>
      <c r="G381" s="453"/>
    </row>
    <row r="382" spans="1:7">
      <c r="A382" s="453"/>
      <c r="B382" s="453"/>
      <c r="C382" s="453"/>
      <c r="D382" s="453"/>
      <c r="E382" s="453"/>
      <c r="F382" s="453"/>
      <c r="G382" s="453"/>
    </row>
    <row r="383" spans="1:7">
      <c r="A383" s="453"/>
      <c r="B383" s="453"/>
      <c r="C383" s="453"/>
      <c r="D383" s="453"/>
      <c r="E383" s="453"/>
      <c r="F383" s="453"/>
      <c r="G383" s="453"/>
    </row>
    <row r="384" spans="1:7">
      <c r="A384" s="453"/>
      <c r="B384" s="453"/>
      <c r="C384" s="453"/>
      <c r="D384" s="453"/>
      <c r="E384" s="453"/>
      <c r="F384" s="453"/>
      <c r="G384" s="453"/>
    </row>
    <row r="385" spans="1:7">
      <c r="A385" s="453"/>
      <c r="B385" s="453"/>
      <c r="C385" s="453"/>
      <c r="D385" s="453"/>
      <c r="E385" s="453"/>
      <c r="F385" s="453"/>
      <c r="G385" s="453"/>
    </row>
    <row r="386" spans="1:7">
      <c r="A386" s="453"/>
      <c r="B386" s="453"/>
      <c r="C386" s="453"/>
      <c r="D386" s="453"/>
      <c r="E386" s="453"/>
      <c r="F386" s="453"/>
      <c r="G386" s="453"/>
    </row>
    <row r="387" spans="1:7">
      <c r="A387" s="453"/>
      <c r="B387" s="453"/>
      <c r="C387" s="453"/>
      <c r="D387" s="453"/>
      <c r="E387" s="453"/>
      <c r="F387" s="453"/>
      <c r="G387" s="453"/>
    </row>
    <row r="388" spans="1:7">
      <c r="A388" s="453"/>
      <c r="B388" s="453"/>
      <c r="C388" s="453"/>
      <c r="D388" s="453"/>
      <c r="E388" s="453"/>
      <c r="F388" s="453"/>
      <c r="G388" s="453"/>
    </row>
    <row r="389" spans="1:7">
      <c r="A389" s="453"/>
      <c r="B389" s="453"/>
      <c r="C389" s="453"/>
      <c r="D389" s="453"/>
      <c r="E389" s="453"/>
      <c r="F389" s="453"/>
      <c r="G389" s="453"/>
    </row>
    <row r="390" spans="1:7">
      <c r="A390" s="453"/>
      <c r="B390" s="453"/>
      <c r="C390" s="453"/>
      <c r="D390" s="453"/>
      <c r="E390" s="453"/>
      <c r="F390" s="453"/>
      <c r="G390" s="453"/>
    </row>
    <row r="391" spans="1:7">
      <c r="A391" s="453"/>
      <c r="B391" s="453"/>
      <c r="C391" s="453"/>
      <c r="D391" s="453"/>
      <c r="E391" s="453"/>
      <c r="F391" s="453"/>
      <c r="G391" s="453"/>
    </row>
    <row r="392" spans="1:7">
      <c r="A392" s="453"/>
      <c r="B392" s="453"/>
      <c r="C392" s="453"/>
      <c r="D392" s="453"/>
      <c r="E392" s="453"/>
      <c r="F392" s="453"/>
      <c r="G392" s="453"/>
    </row>
    <row r="393" spans="1:7">
      <c r="A393" s="453"/>
      <c r="B393" s="453"/>
      <c r="C393" s="453"/>
      <c r="D393" s="453"/>
      <c r="E393" s="453"/>
      <c r="F393" s="453"/>
      <c r="G393" s="453"/>
    </row>
    <row r="394" spans="1:7">
      <c r="A394" s="453"/>
      <c r="B394" s="453"/>
      <c r="C394" s="453"/>
      <c r="D394" s="453"/>
      <c r="E394" s="453"/>
      <c r="F394" s="453"/>
      <c r="G394" s="453"/>
    </row>
    <row r="395" spans="1:7">
      <c r="A395" s="453"/>
      <c r="B395" s="453"/>
      <c r="C395" s="453"/>
      <c r="D395" s="453"/>
      <c r="E395" s="453"/>
      <c r="F395" s="453"/>
      <c r="G395" s="453"/>
    </row>
    <row r="396" spans="1:7">
      <c r="A396" s="453"/>
      <c r="B396" s="453"/>
      <c r="C396" s="453"/>
      <c r="D396" s="453"/>
      <c r="E396" s="453"/>
      <c r="F396" s="453"/>
      <c r="G396" s="453"/>
    </row>
    <row r="397" spans="1:7">
      <c r="A397" s="453"/>
      <c r="B397" s="453"/>
      <c r="C397" s="453"/>
      <c r="D397" s="453"/>
      <c r="E397" s="453"/>
      <c r="F397" s="453"/>
      <c r="G397" s="453"/>
    </row>
    <row r="398" spans="1:7">
      <c r="A398" s="453"/>
      <c r="B398" s="453"/>
      <c r="C398" s="453"/>
      <c r="D398" s="453"/>
      <c r="E398" s="453"/>
      <c r="F398" s="453"/>
      <c r="G398" s="453"/>
    </row>
    <row r="399" spans="1:7">
      <c r="A399" s="453"/>
      <c r="B399" s="453"/>
      <c r="C399" s="453"/>
      <c r="D399" s="453"/>
      <c r="E399" s="453"/>
      <c r="F399" s="453"/>
      <c r="G399" s="453"/>
    </row>
    <row r="400" spans="1:7">
      <c r="A400" s="453"/>
      <c r="B400" s="453"/>
      <c r="C400" s="453"/>
      <c r="D400" s="453"/>
      <c r="E400" s="453"/>
      <c r="F400" s="453"/>
      <c r="G400" s="453"/>
    </row>
    <row r="401" spans="1:7">
      <c r="A401" s="453"/>
      <c r="B401" s="453"/>
      <c r="C401" s="453"/>
      <c r="D401" s="453"/>
      <c r="E401" s="453"/>
      <c r="F401" s="453"/>
      <c r="G401" s="453"/>
    </row>
    <row r="402" spans="1:7">
      <c r="A402" s="453"/>
      <c r="B402" s="453"/>
      <c r="C402" s="453"/>
      <c r="D402" s="453"/>
      <c r="E402" s="453"/>
      <c r="F402" s="453"/>
      <c r="G402" s="453"/>
    </row>
    <row r="403" spans="1:7">
      <c r="A403" s="453"/>
      <c r="B403" s="453"/>
      <c r="C403" s="453"/>
      <c r="D403" s="453"/>
      <c r="E403" s="453"/>
      <c r="F403" s="453"/>
      <c r="G403" s="453"/>
    </row>
    <row r="404" spans="1:7">
      <c r="A404" s="453"/>
      <c r="B404" s="453"/>
      <c r="C404" s="453"/>
      <c r="D404" s="453"/>
      <c r="E404" s="453"/>
      <c r="F404" s="453"/>
      <c r="G404" s="453"/>
    </row>
    <row r="405" spans="1:7">
      <c r="A405" s="453"/>
      <c r="B405" s="453"/>
      <c r="C405" s="453"/>
      <c r="D405" s="453"/>
      <c r="E405" s="453"/>
      <c r="F405" s="453"/>
      <c r="G405" s="453"/>
    </row>
    <row r="406" spans="1:7">
      <c r="A406" s="453"/>
      <c r="B406" s="453"/>
      <c r="C406" s="453"/>
      <c r="D406" s="453"/>
      <c r="E406" s="453"/>
      <c r="F406" s="453"/>
      <c r="G406" s="453"/>
    </row>
    <row r="407" spans="1:7">
      <c r="A407" s="453"/>
      <c r="B407" s="453"/>
      <c r="C407" s="453"/>
      <c r="D407" s="453"/>
      <c r="E407" s="453"/>
      <c r="F407" s="453"/>
      <c r="G407" s="453"/>
    </row>
    <row r="408" spans="1:7">
      <c r="A408" s="453"/>
      <c r="B408" s="453"/>
      <c r="C408" s="453"/>
      <c r="D408" s="453"/>
      <c r="E408" s="453"/>
      <c r="F408" s="453"/>
      <c r="G408" s="453"/>
    </row>
    <row r="409" spans="1:7">
      <c r="A409" s="453"/>
      <c r="B409" s="453"/>
      <c r="C409" s="453"/>
      <c r="D409" s="453"/>
      <c r="E409" s="453"/>
      <c r="F409" s="453"/>
      <c r="G409" s="453"/>
    </row>
    <row r="410" spans="1:7">
      <c r="A410" s="453"/>
      <c r="B410" s="453"/>
      <c r="C410" s="453"/>
      <c r="D410" s="453"/>
      <c r="E410" s="453"/>
      <c r="F410" s="453"/>
      <c r="G410" s="453"/>
    </row>
    <row r="411" spans="1:7">
      <c r="A411" s="453"/>
      <c r="B411" s="453"/>
      <c r="C411" s="453"/>
      <c r="D411" s="453"/>
      <c r="E411" s="453"/>
      <c r="F411" s="453"/>
      <c r="G411" s="453"/>
    </row>
    <row r="412" spans="1:7">
      <c r="A412" s="453"/>
      <c r="B412" s="453"/>
      <c r="C412" s="453"/>
      <c r="D412" s="453"/>
      <c r="E412" s="453"/>
      <c r="F412" s="453"/>
      <c r="G412" s="453"/>
    </row>
  </sheetData>
  <protectedRanges>
    <protectedRange sqref="B312:D317 F312:G317" name="Range12"/>
    <protectedRange sqref="B209:C215 F209:G215 B221:C227 C229 B234:C238 C218 B244:C284 B243" name="Range10"/>
    <protectedRange sqref="B168:D172 F168:G172 C164" name="Range8"/>
    <protectedRange sqref="C89 C93 B101:D110 F101:G110 B130:D136 B156 F130:G136 F156:G162 C112:C128 C139:C154" name="Range6"/>
    <protectedRange sqref="B18:B25" name="Basic Facts 2"/>
    <protectedRange sqref="C17:C25" name="Basic facts"/>
    <protectedRange sqref="C38:C39 B31:C35 C53" name="Regulatory Sumary"/>
    <protectedRange sqref="C3 B18:B25 C17:C25 C42:C43 B49:B51 C45:C51 D46:D51 B59:D64 F59:G64 C66 B78:D87 F66:F76 F78:G87 C93 C38:C39 C70:C76 B31:C35 F45:G51 F53:G57 F58 C53:D57" name="HTT General"/>
    <protectedRange sqref="C156:D156 B157:D162 C138 C165:C166" name="Range7"/>
    <protectedRange sqref="B180:D191 F180:G191" name="Range9"/>
    <protectedRange sqref="C311 B320:G364" name="Range11"/>
    <protectedRange sqref="C45:C51 B49:B51 F45:G45 D46:G51" name="Range13"/>
    <protectedRange sqref="C14:C15" name="Basic facts_1"/>
    <protectedRange sqref="C14:C15" name="HTT General_1"/>
    <protectedRange sqref="C16" name="Basic facts_1_1"/>
    <protectedRange sqref="C16" name="HTT General_1_1"/>
    <protectedRange sqref="C30" name="Regulatory Sumary_1"/>
    <protectedRange sqref="C30" name="HTT General_2"/>
    <protectedRange sqref="C40:C41" name="HTT General_3"/>
    <protectedRange sqref="D66 D70:D76 G66 G70:G76" name="HTT General_4"/>
    <protectedRange sqref="D89 D93:D99" name="Range6_1"/>
    <protectedRange sqref="D93:D99" name="HTT General_5"/>
    <protectedRange sqref="D112:D128" name="Range6_2"/>
    <protectedRange sqref="D138" name="Range8_1"/>
    <protectedRange sqref="D139:D154" name="Range7_1"/>
    <protectedRange sqref="D164:D166" name="Range8_2"/>
    <protectedRange sqref="C243" name="Range10_1"/>
    <protectedRange sqref="K46" name="HTT General_6"/>
    <protectedRange sqref="K46" name="Range13_1"/>
  </protectedRanges>
  <hyperlinks>
    <hyperlink ref="B6" location="'A. General Mortgage'!B13" display="1. Basic Facts" xr:uid="{8A72EF44-2924-4058-A572-F0623C8293FA}"/>
    <hyperlink ref="B7" location="'A. General Mortgage'!B26" display="2. Regulatory Summary" xr:uid="{9A4176AD-5FB9-4976-B1F0-00102824569D}"/>
    <hyperlink ref="B8" location="'A. General Mortgage'!B36" display="3. General Cover Pool / Covered Bond Information" xr:uid="{3B3E36D8-FF50-4F53-A1C6-97BB6C8D1675}"/>
    <hyperlink ref="B9" location="'A. General Mortgage'!B285" display="4. References to Capital Requirements Regulation (CRR) 129(7)" xr:uid="{E244855E-BCD3-4884-ACE1-B6884DDAB8FC}"/>
    <hyperlink ref="B11" location="'A. General Mortgage'!B319" display="6. Other relevant information" xr:uid="{E76CBFA2-3F4C-440F-8416-511F7FE96A16}"/>
    <hyperlink ref="B10" location="'A. General Mortgage'!B311" display="5. References to Capital Requirements Regulation (CRR) 129(1)" xr:uid="{6F9CE5E9-9DA5-44F5-8DDA-82009A0DB8DC}"/>
    <hyperlink ref="C16" r:id="rId1" xr:uid="{6209FE42-3ACE-4144-A293-9AB09B491EA7}"/>
    <hyperlink ref="B28" r:id="rId2" xr:uid="{4E86F27A-0937-4D52-A4A5-A9AAEB18D28A}"/>
    <hyperlink ref="B29" r:id="rId3" xr:uid="{78F6A93E-E520-4C94-A46B-54284E5ACFB8}"/>
    <hyperlink ref="C229" location="'C. ISIN List'!A1" display="C. ISIN List" xr:uid="{F29F017C-5C03-4923-98B2-1BAD34005B1A}"/>
    <hyperlink ref="C30" r:id="rId4" xr:uid="{D05F53FC-A9C9-45D7-8EE2-CC45E18315DE}"/>
    <hyperlink ref="C243" r:id="rId5" xr:uid="{97F370D0-3258-4388-926A-83933B0CBD62}"/>
  </hyperlinks>
  <pageMargins left="0.7" right="0.7" top="0.78740157499999996" bottom="0.78740157499999996" header="0.3" footer="0.3"/>
  <pageSetup orientation="portrait" horizontalDpi="200" verticalDpi="20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C155-4FAF-419F-85CE-EFF137D2C012}">
  <sheetPr codeName="Tabelle5">
    <tabColor theme="3" tint="0.39997558519241921"/>
  </sheetPr>
  <dimension ref="A1:M583"/>
  <sheetViews>
    <sheetView tabSelected="1" workbookViewId="0">
      <selection activeCell="B18" sqref="B18"/>
    </sheetView>
  </sheetViews>
  <sheetFormatPr defaultColWidth="11.5703125" defaultRowHeight="15"/>
  <cols>
    <col min="1" max="1" width="13.85546875" style="412" customWidth="1"/>
    <col min="2" max="2" width="60.85546875" style="412" customWidth="1"/>
    <col min="3" max="3" width="41" style="412" customWidth="1"/>
    <col min="4" max="4" width="40.85546875" style="412" customWidth="1"/>
    <col min="5" max="5" width="6.7109375" style="412" customWidth="1"/>
    <col min="6" max="6" width="41.5703125" style="412" customWidth="1"/>
    <col min="7" max="7" width="41.5703125" style="405" customWidth="1"/>
    <col min="8" max="10" width="11.5703125" style="407"/>
    <col min="11" max="11" width="16.42578125" style="407" bestFit="1" customWidth="1"/>
    <col min="12" max="16384" width="11.5703125" style="407"/>
  </cols>
  <sheetData>
    <row r="1" spans="1:7" ht="31.5">
      <c r="A1" s="404" t="s">
        <v>526</v>
      </c>
      <c r="B1" s="404"/>
      <c r="C1" s="405"/>
      <c r="D1" s="405"/>
      <c r="E1" s="405"/>
      <c r="F1" s="406"/>
    </row>
    <row r="2" spans="1:7" ht="15.75" thickBot="1">
      <c r="A2" s="405"/>
      <c r="B2" s="405"/>
      <c r="C2" s="405"/>
      <c r="D2" s="405"/>
      <c r="E2" s="405"/>
      <c r="F2" s="405"/>
    </row>
    <row r="3" spans="1:7" ht="19.5" thickBot="1">
      <c r="A3" s="409"/>
      <c r="B3" s="410" t="s">
        <v>31</v>
      </c>
      <c r="C3" s="411" t="s">
        <v>32</v>
      </c>
      <c r="D3" s="409"/>
      <c r="E3" s="409"/>
      <c r="F3" s="405"/>
      <c r="G3" s="409"/>
    </row>
    <row r="4" spans="1:7" ht="15.75" thickBot="1"/>
    <row r="5" spans="1:7" ht="18.75">
      <c r="A5" s="413"/>
      <c r="B5" s="414" t="s">
        <v>527</v>
      </c>
      <c r="C5" s="413"/>
      <c r="E5" s="415"/>
      <c r="F5" s="415"/>
    </row>
    <row r="6" spans="1:7">
      <c r="B6" s="478" t="s">
        <v>528</v>
      </c>
    </row>
    <row r="7" spans="1:7">
      <c r="B7" s="479" t="s">
        <v>529</v>
      </c>
    </row>
    <row r="8" spans="1:7" ht="15.75" thickBot="1">
      <c r="B8" s="480" t="s">
        <v>530</v>
      </c>
    </row>
    <row r="9" spans="1:7">
      <c r="B9" s="481"/>
    </row>
    <row r="10" spans="1:7" ht="37.5">
      <c r="A10" s="420" t="s">
        <v>41</v>
      </c>
      <c r="B10" s="420" t="s">
        <v>528</v>
      </c>
      <c r="C10" s="421"/>
      <c r="D10" s="421"/>
      <c r="E10" s="421"/>
      <c r="F10" s="421"/>
      <c r="G10" s="422"/>
    </row>
    <row r="11" spans="1:7">
      <c r="A11" s="433"/>
      <c r="B11" s="434" t="s">
        <v>531</v>
      </c>
      <c r="C11" s="433" t="s">
        <v>78</v>
      </c>
      <c r="D11" s="433"/>
      <c r="E11" s="433"/>
      <c r="F11" s="436" t="s">
        <v>532</v>
      </c>
      <c r="G11" s="436"/>
    </row>
    <row r="12" spans="1:7">
      <c r="A12" s="405" t="s">
        <v>533</v>
      </c>
      <c r="B12" s="405" t="s">
        <v>534</v>
      </c>
      <c r="C12" s="515">
        <v>10943392598.98</v>
      </c>
      <c r="D12" s="405"/>
      <c r="E12" s="405"/>
      <c r="F12" s="447">
        <v>0.97287241952259096</v>
      </c>
    </row>
    <row r="13" spans="1:7">
      <c r="A13" s="405" t="s">
        <v>535</v>
      </c>
      <c r="B13" s="405" t="s">
        <v>536</v>
      </c>
      <c r="C13" s="515">
        <v>305145625.95000011</v>
      </c>
      <c r="D13" s="405"/>
      <c r="E13" s="405"/>
      <c r="F13" s="447">
        <v>2.7127580477409013E-2</v>
      </c>
    </row>
    <row r="14" spans="1:7">
      <c r="A14" s="405" t="s">
        <v>537</v>
      </c>
      <c r="B14" s="405" t="s">
        <v>116</v>
      </c>
      <c r="C14" s="437">
        <v>0</v>
      </c>
      <c r="D14" s="405"/>
      <c r="E14" s="405"/>
      <c r="F14" s="447">
        <v>0</v>
      </c>
    </row>
    <row r="15" spans="1:7">
      <c r="A15" s="405" t="s">
        <v>538</v>
      </c>
      <c r="B15" s="467" t="s">
        <v>118</v>
      </c>
      <c r="C15" s="437">
        <v>11248538224.93</v>
      </c>
      <c r="D15" s="405"/>
      <c r="E15" s="405"/>
      <c r="F15" s="482">
        <v>1</v>
      </c>
    </row>
    <row r="16" spans="1:7">
      <c r="A16" s="405" t="s">
        <v>539</v>
      </c>
      <c r="B16" s="451" t="s">
        <v>540</v>
      </c>
      <c r="C16" s="439"/>
      <c r="D16" s="405"/>
      <c r="E16" s="405"/>
      <c r="F16" s="447">
        <v>0</v>
      </c>
    </row>
    <row r="17" spans="1:7">
      <c r="A17" s="405" t="s">
        <v>541</v>
      </c>
      <c r="B17" s="451" t="s">
        <v>542</v>
      </c>
      <c r="C17" s="439"/>
      <c r="D17" s="405"/>
      <c r="E17" s="405"/>
      <c r="F17" s="447">
        <v>0</v>
      </c>
    </row>
    <row r="18" spans="1:7">
      <c r="A18" s="405" t="s">
        <v>543</v>
      </c>
      <c r="B18" s="451" t="s">
        <v>120</v>
      </c>
      <c r="C18" s="439"/>
      <c r="D18" s="405"/>
      <c r="E18" s="405"/>
      <c r="F18" s="447">
        <v>0</v>
      </c>
    </row>
    <row r="19" spans="1:7">
      <c r="A19" s="405" t="s">
        <v>544</v>
      </c>
      <c r="B19" s="451" t="s">
        <v>120</v>
      </c>
      <c r="C19" s="439"/>
      <c r="D19" s="405"/>
      <c r="E19" s="405"/>
      <c r="F19" s="447">
        <v>0</v>
      </c>
    </row>
    <row r="20" spans="1:7">
      <c r="A20" s="405" t="s">
        <v>545</v>
      </c>
      <c r="B20" s="451" t="s">
        <v>120</v>
      </c>
      <c r="C20" s="439"/>
      <c r="D20" s="405"/>
      <c r="E20" s="405"/>
      <c r="F20" s="447">
        <v>0</v>
      </c>
    </row>
    <row r="21" spans="1:7">
      <c r="A21" s="405" t="s">
        <v>546</v>
      </c>
      <c r="B21" s="451" t="s">
        <v>120</v>
      </c>
      <c r="C21" s="439"/>
      <c r="D21" s="405"/>
      <c r="E21" s="405"/>
      <c r="F21" s="447">
        <v>0</v>
      </c>
    </row>
    <row r="22" spans="1:7">
      <c r="A22" s="405" t="s">
        <v>547</v>
      </c>
      <c r="B22" s="451" t="s">
        <v>120</v>
      </c>
      <c r="C22" s="439"/>
      <c r="D22" s="405"/>
      <c r="E22" s="405"/>
      <c r="F22" s="447">
        <v>0</v>
      </c>
    </row>
    <row r="23" spans="1:7">
      <c r="A23" s="405" t="s">
        <v>548</v>
      </c>
      <c r="B23" s="451" t="s">
        <v>120</v>
      </c>
      <c r="C23" s="439"/>
      <c r="D23" s="405"/>
      <c r="E23" s="405"/>
      <c r="F23" s="447">
        <v>0</v>
      </c>
    </row>
    <row r="24" spans="1:7">
      <c r="A24" s="405" t="s">
        <v>549</v>
      </c>
      <c r="B24" s="451" t="s">
        <v>120</v>
      </c>
      <c r="C24" s="439"/>
      <c r="D24" s="405"/>
      <c r="E24" s="405"/>
      <c r="F24" s="447">
        <v>0</v>
      </c>
    </row>
    <row r="25" spans="1:7">
      <c r="A25" s="405" t="s">
        <v>550</v>
      </c>
      <c r="B25" s="451" t="s">
        <v>120</v>
      </c>
      <c r="C25" s="439"/>
      <c r="D25" s="405"/>
      <c r="E25" s="405"/>
      <c r="F25" s="447">
        <v>0</v>
      </c>
    </row>
    <row r="26" spans="1:7">
      <c r="A26" s="405" t="s">
        <v>551</v>
      </c>
      <c r="B26" s="451" t="s">
        <v>120</v>
      </c>
      <c r="C26" s="452"/>
      <c r="D26" s="453"/>
      <c r="E26" s="453"/>
      <c r="F26" s="447">
        <v>0</v>
      </c>
    </row>
    <row r="27" spans="1:7">
      <c r="A27" s="433"/>
      <c r="B27" s="434" t="s">
        <v>552</v>
      </c>
      <c r="C27" s="433" t="s">
        <v>553</v>
      </c>
      <c r="D27" s="433" t="s">
        <v>554</v>
      </c>
      <c r="E27" s="435"/>
      <c r="F27" s="433" t="s">
        <v>555</v>
      </c>
      <c r="G27" s="436"/>
    </row>
    <row r="28" spans="1:7">
      <c r="A28" s="405" t="s">
        <v>556</v>
      </c>
      <c r="B28" s="405" t="s">
        <v>557</v>
      </c>
      <c r="C28" s="514">
        <v>84314</v>
      </c>
      <c r="D28" s="514">
        <v>687</v>
      </c>
      <c r="E28" s="405"/>
      <c r="F28" s="405">
        <v>85001</v>
      </c>
    </row>
    <row r="29" spans="1:7">
      <c r="A29" s="405" t="s">
        <v>558</v>
      </c>
      <c r="B29" s="426" t="s">
        <v>559</v>
      </c>
      <c r="C29" s="405"/>
      <c r="D29" s="405"/>
      <c r="E29" s="405"/>
      <c r="F29" s="405"/>
    </row>
    <row r="30" spans="1:7">
      <c r="A30" s="405" t="s">
        <v>560</v>
      </c>
      <c r="B30" s="426" t="s">
        <v>561</v>
      </c>
      <c r="C30" s="405"/>
      <c r="D30" s="405"/>
      <c r="E30" s="405"/>
      <c r="F30" s="405"/>
    </row>
    <row r="31" spans="1:7">
      <c r="A31" s="405" t="s">
        <v>562</v>
      </c>
      <c r="B31" s="426"/>
      <c r="C31" s="405"/>
      <c r="D31" s="405"/>
      <c r="E31" s="405"/>
      <c r="F31" s="405"/>
    </row>
    <row r="32" spans="1:7">
      <c r="A32" s="405" t="s">
        <v>563</v>
      </c>
      <c r="B32" s="426"/>
      <c r="C32" s="405"/>
      <c r="D32" s="405"/>
      <c r="E32" s="405"/>
      <c r="F32" s="405"/>
    </row>
    <row r="33" spans="1:13">
      <c r="A33" s="405" t="s">
        <v>564</v>
      </c>
      <c r="B33" s="426"/>
      <c r="C33" s="405"/>
      <c r="D33" s="405"/>
      <c r="E33" s="405"/>
      <c r="F33" s="405"/>
    </row>
    <row r="34" spans="1:13">
      <c r="A34" s="405" t="s">
        <v>565</v>
      </c>
      <c r="B34" s="426"/>
      <c r="C34" s="405"/>
      <c r="D34" s="405"/>
      <c r="E34" s="405"/>
      <c r="F34" s="405"/>
    </row>
    <row r="35" spans="1:13">
      <c r="A35" s="433"/>
      <c r="B35" s="434" t="s">
        <v>566</v>
      </c>
      <c r="C35" s="433" t="s">
        <v>567</v>
      </c>
      <c r="D35" s="433" t="s">
        <v>568</v>
      </c>
      <c r="E35" s="435"/>
      <c r="F35" s="436" t="s">
        <v>532</v>
      </c>
      <c r="G35" s="436"/>
    </row>
    <row r="36" spans="1:13">
      <c r="A36" s="405" t="s">
        <v>569</v>
      </c>
      <c r="B36" s="405" t="s">
        <v>570</v>
      </c>
      <c r="C36" s="482">
        <v>4.1814574370899462E-3</v>
      </c>
      <c r="D36" s="482">
        <v>0.41880393858550724</v>
      </c>
      <c r="E36" s="483"/>
      <c r="F36" s="482">
        <v>1.5429162162186639E-2</v>
      </c>
    </row>
    <row r="37" spans="1:13">
      <c r="A37" s="405" t="s">
        <v>571</v>
      </c>
      <c r="B37" s="405"/>
      <c r="C37" s="482"/>
      <c r="D37" s="482"/>
      <c r="E37" s="483"/>
      <c r="F37" s="482"/>
    </row>
    <row r="38" spans="1:13">
      <c r="A38" s="405" t="s">
        <v>572</v>
      </c>
      <c r="B38" s="405"/>
      <c r="C38" s="482"/>
      <c r="D38" s="482"/>
      <c r="E38" s="483"/>
      <c r="F38" s="482"/>
    </row>
    <row r="39" spans="1:13">
      <c r="A39" s="405" t="s">
        <v>573</v>
      </c>
      <c r="B39" s="405"/>
      <c r="C39" s="482"/>
      <c r="D39" s="482"/>
      <c r="E39" s="483"/>
      <c r="F39" s="482"/>
    </row>
    <row r="40" spans="1:13">
      <c r="A40" s="405" t="s">
        <v>574</v>
      </c>
      <c r="B40" s="405"/>
      <c r="C40" s="482"/>
      <c r="D40" s="482"/>
      <c r="E40" s="483"/>
      <c r="F40" s="482"/>
    </row>
    <row r="41" spans="1:13">
      <c r="A41" s="405" t="s">
        <v>575</v>
      </c>
      <c r="B41" s="405"/>
      <c r="C41" s="482"/>
      <c r="D41" s="482"/>
      <c r="E41" s="483"/>
      <c r="F41" s="482"/>
    </row>
    <row r="42" spans="1:13">
      <c r="A42" s="405" t="s">
        <v>576</v>
      </c>
      <c r="B42" s="405"/>
      <c r="C42" s="482"/>
      <c r="D42" s="482"/>
      <c r="E42" s="483"/>
      <c r="F42" s="482"/>
    </row>
    <row r="43" spans="1:13">
      <c r="A43" s="433"/>
      <c r="B43" s="434" t="s">
        <v>29</v>
      </c>
      <c r="C43" s="433" t="s">
        <v>567</v>
      </c>
      <c r="D43" s="433" t="s">
        <v>568</v>
      </c>
      <c r="E43" s="435"/>
      <c r="F43" s="436" t="s">
        <v>532</v>
      </c>
      <c r="G43" s="436"/>
    </row>
    <row r="44" spans="1:13">
      <c r="A44" s="405" t="s">
        <v>577</v>
      </c>
      <c r="B44" s="484" t="s">
        <v>578</v>
      </c>
      <c r="C44" s="485">
        <v>1</v>
      </c>
      <c r="D44" s="485">
        <v>1.0000000000000002</v>
      </c>
      <c r="E44" s="482"/>
      <c r="F44" s="485">
        <v>1</v>
      </c>
    </row>
    <row r="45" spans="1:13">
      <c r="A45" s="405" t="s">
        <v>579</v>
      </c>
      <c r="B45" s="405" t="s">
        <v>44</v>
      </c>
      <c r="C45" s="482">
        <v>0.58011752967280883</v>
      </c>
      <c r="D45" s="482">
        <v>1</v>
      </c>
      <c r="E45" s="482"/>
      <c r="F45" s="482">
        <v>0.59150792517766582</v>
      </c>
      <c r="G45" s="525"/>
      <c r="K45" s="486"/>
      <c r="L45" s="487"/>
      <c r="M45" s="486"/>
    </row>
    <row r="46" spans="1:13">
      <c r="A46" s="405" t="s">
        <v>580</v>
      </c>
      <c r="B46" s="405" t="s">
        <v>581</v>
      </c>
      <c r="C46" s="482"/>
      <c r="D46" s="482"/>
      <c r="E46" s="482"/>
      <c r="F46" s="482"/>
      <c r="K46" s="486"/>
      <c r="L46" s="488"/>
      <c r="M46" s="486"/>
    </row>
    <row r="47" spans="1:13">
      <c r="A47" s="405" t="s">
        <v>582</v>
      </c>
      <c r="B47" s="405" t="s">
        <v>583</v>
      </c>
      <c r="C47" s="482"/>
      <c r="D47" s="482"/>
      <c r="E47" s="482"/>
      <c r="F47" s="482"/>
      <c r="K47" s="486"/>
      <c r="L47" s="488"/>
    </row>
    <row r="48" spans="1:13">
      <c r="A48" s="405" t="s">
        <v>584</v>
      </c>
      <c r="B48" s="405" t="s">
        <v>585</v>
      </c>
      <c r="C48" s="482"/>
      <c r="D48" s="482"/>
      <c r="E48" s="482"/>
      <c r="F48" s="482"/>
      <c r="K48" s="486"/>
      <c r="L48" s="488"/>
    </row>
    <row r="49" spans="1:13">
      <c r="A49" s="405" t="s">
        <v>586</v>
      </c>
      <c r="B49" s="405" t="s">
        <v>587</v>
      </c>
      <c r="C49" s="482"/>
      <c r="D49" s="482"/>
      <c r="E49" s="482"/>
      <c r="F49" s="482"/>
      <c r="K49" s="486"/>
      <c r="L49" s="488"/>
    </row>
    <row r="50" spans="1:13">
      <c r="A50" s="405" t="s">
        <v>588</v>
      </c>
      <c r="B50" s="405" t="s">
        <v>589</v>
      </c>
      <c r="C50" s="482"/>
      <c r="D50" s="482"/>
      <c r="E50" s="482"/>
      <c r="F50" s="482"/>
      <c r="K50" s="486"/>
      <c r="L50" s="488"/>
      <c r="M50" s="486"/>
    </row>
    <row r="51" spans="1:13">
      <c r="A51" s="405" t="s">
        <v>590</v>
      </c>
      <c r="B51" s="405" t="s">
        <v>591</v>
      </c>
      <c r="C51" s="482"/>
      <c r="D51" s="482"/>
      <c r="E51" s="482"/>
      <c r="F51" s="482"/>
      <c r="K51" s="486"/>
      <c r="L51" s="488"/>
    </row>
    <row r="52" spans="1:13">
      <c r="A52" s="405" t="s">
        <v>592</v>
      </c>
      <c r="B52" s="405" t="s">
        <v>593</v>
      </c>
      <c r="C52" s="482"/>
      <c r="D52" s="482"/>
      <c r="E52" s="482"/>
      <c r="F52" s="482"/>
      <c r="K52" s="486"/>
      <c r="L52" s="488"/>
    </row>
    <row r="53" spans="1:13">
      <c r="A53" s="405" t="s">
        <v>594</v>
      </c>
      <c r="B53" s="405" t="s">
        <v>595</v>
      </c>
      <c r="C53" s="482"/>
      <c r="D53" s="482"/>
      <c r="E53" s="482"/>
      <c r="F53" s="482"/>
      <c r="K53" s="486"/>
      <c r="L53" s="488"/>
    </row>
    <row r="54" spans="1:13">
      <c r="A54" s="405" t="s">
        <v>596</v>
      </c>
      <c r="B54" s="405" t="s">
        <v>597</v>
      </c>
      <c r="C54" s="482"/>
      <c r="D54" s="482"/>
      <c r="E54" s="482"/>
      <c r="F54" s="482"/>
    </row>
    <row r="55" spans="1:13">
      <c r="A55" s="405" t="s">
        <v>598</v>
      </c>
      <c r="B55" s="405" t="s">
        <v>599</v>
      </c>
      <c r="C55" s="482">
        <v>6.206352246590386E-2</v>
      </c>
      <c r="D55" s="482"/>
      <c r="E55" s="482"/>
      <c r="F55" s="482">
        <v>6.0379889265498574E-2</v>
      </c>
      <c r="G55" s="525"/>
    </row>
    <row r="56" spans="1:13">
      <c r="A56" s="405" t="s">
        <v>600</v>
      </c>
      <c r="B56" s="405" t="s">
        <v>601</v>
      </c>
      <c r="C56" s="482"/>
      <c r="D56" s="482"/>
      <c r="E56" s="482"/>
      <c r="F56" s="482"/>
    </row>
    <row r="57" spans="1:13">
      <c r="A57" s="405" t="s">
        <v>602</v>
      </c>
      <c r="B57" s="405" t="s">
        <v>603</v>
      </c>
      <c r="C57" s="482">
        <v>0.35781894786128449</v>
      </c>
      <c r="D57" s="482"/>
      <c r="E57" s="482"/>
      <c r="F57" s="482">
        <v>0.34811218555683565</v>
      </c>
      <c r="G57" s="525"/>
    </row>
    <row r="58" spans="1:13">
      <c r="A58" s="405" t="s">
        <v>604</v>
      </c>
      <c r="B58" s="405" t="s">
        <v>605</v>
      </c>
      <c r="C58" s="482"/>
      <c r="D58" s="482"/>
      <c r="E58" s="482"/>
      <c r="F58" s="482"/>
    </row>
    <row r="59" spans="1:13">
      <c r="A59" s="405" t="s">
        <v>606</v>
      </c>
      <c r="B59" s="405" t="s">
        <v>607</v>
      </c>
      <c r="C59" s="482"/>
      <c r="D59" s="482"/>
      <c r="E59" s="482"/>
      <c r="F59" s="482"/>
    </row>
    <row r="60" spans="1:13">
      <c r="A60" s="405" t="s">
        <v>608</v>
      </c>
      <c r="B60" s="405" t="s">
        <v>609</v>
      </c>
      <c r="C60" s="482"/>
      <c r="D60" s="482"/>
      <c r="E60" s="482"/>
      <c r="F60" s="482"/>
    </row>
    <row r="61" spans="1:13">
      <c r="A61" s="405" t="s">
        <v>610</v>
      </c>
      <c r="B61" s="405" t="s">
        <v>611</v>
      </c>
      <c r="C61" s="482"/>
      <c r="D61" s="482"/>
      <c r="E61" s="482"/>
      <c r="F61" s="482"/>
    </row>
    <row r="62" spans="1:13">
      <c r="A62" s="405" t="s">
        <v>612</v>
      </c>
      <c r="B62" s="405" t="s">
        <v>613</v>
      </c>
      <c r="C62" s="482"/>
      <c r="D62" s="482"/>
      <c r="E62" s="482"/>
      <c r="F62" s="482"/>
    </row>
    <row r="63" spans="1:13">
      <c r="A63" s="405" t="s">
        <v>614</v>
      </c>
      <c r="B63" s="405" t="s">
        <v>615</v>
      </c>
      <c r="C63" s="482"/>
      <c r="D63" s="482"/>
      <c r="E63" s="482"/>
      <c r="F63" s="482"/>
    </row>
    <row r="64" spans="1:13">
      <c r="A64" s="405" t="s">
        <v>616</v>
      </c>
      <c r="B64" s="405" t="s">
        <v>617</v>
      </c>
      <c r="C64" s="482"/>
      <c r="D64" s="482"/>
      <c r="E64" s="482"/>
      <c r="F64" s="482"/>
    </row>
    <row r="65" spans="1:6">
      <c r="A65" s="405" t="s">
        <v>618</v>
      </c>
      <c r="B65" s="405" t="s">
        <v>619</v>
      </c>
      <c r="C65" s="482"/>
      <c r="D65" s="482"/>
      <c r="E65" s="482"/>
      <c r="F65" s="482"/>
    </row>
    <row r="66" spans="1:6">
      <c r="A66" s="405" t="s">
        <v>620</v>
      </c>
      <c r="B66" s="405" t="s">
        <v>621</v>
      </c>
      <c r="C66" s="482"/>
      <c r="D66" s="482"/>
      <c r="E66" s="482"/>
      <c r="F66" s="482"/>
    </row>
    <row r="67" spans="1:6">
      <c r="A67" s="405" t="s">
        <v>622</v>
      </c>
      <c r="B67" s="405" t="s">
        <v>623</v>
      </c>
      <c r="C67" s="482"/>
      <c r="D67" s="482"/>
      <c r="E67" s="482"/>
      <c r="F67" s="482"/>
    </row>
    <row r="68" spans="1:6">
      <c r="A68" s="405" t="s">
        <v>624</v>
      </c>
      <c r="B68" s="405" t="s">
        <v>625</v>
      </c>
      <c r="C68" s="482"/>
      <c r="D68" s="482"/>
      <c r="E68" s="482"/>
      <c r="F68" s="482"/>
    </row>
    <row r="69" spans="1:6">
      <c r="A69" s="405" t="s">
        <v>626</v>
      </c>
      <c r="B69" s="405" t="s">
        <v>627</v>
      </c>
      <c r="C69" s="482"/>
      <c r="D69" s="482"/>
      <c r="E69" s="482"/>
      <c r="F69" s="482"/>
    </row>
    <row r="70" spans="1:6">
      <c r="A70" s="405" t="s">
        <v>628</v>
      </c>
      <c r="B70" s="405" t="s">
        <v>629</v>
      </c>
      <c r="C70" s="482"/>
      <c r="D70" s="482"/>
      <c r="E70" s="482"/>
      <c r="F70" s="482"/>
    </row>
    <row r="71" spans="1:6">
      <c r="A71" s="405" t="s">
        <v>630</v>
      </c>
      <c r="B71" s="405" t="s">
        <v>631</v>
      </c>
      <c r="C71" s="482"/>
      <c r="D71" s="482"/>
      <c r="E71" s="482"/>
      <c r="F71" s="482"/>
    </row>
    <row r="72" spans="1:6">
      <c r="A72" s="405" t="s">
        <v>632</v>
      </c>
      <c r="B72" s="484" t="s">
        <v>309</v>
      </c>
      <c r="C72" s="482"/>
      <c r="D72" s="482"/>
      <c r="E72" s="482"/>
      <c r="F72" s="482"/>
    </row>
    <row r="73" spans="1:6">
      <c r="A73" s="405" t="s">
        <v>633</v>
      </c>
      <c r="B73" s="405" t="s">
        <v>634</v>
      </c>
      <c r="C73" s="482"/>
      <c r="D73" s="482"/>
      <c r="E73" s="482"/>
      <c r="F73" s="482"/>
    </row>
    <row r="74" spans="1:6">
      <c r="A74" s="405" t="s">
        <v>635</v>
      </c>
      <c r="B74" s="405" t="s">
        <v>636</v>
      </c>
      <c r="C74" s="482"/>
      <c r="D74" s="482"/>
      <c r="E74" s="482"/>
      <c r="F74" s="482"/>
    </row>
    <row r="75" spans="1:6">
      <c r="A75" s="405" t="s">
        <v>637</v>
      </c>
      <c r="B75" s="405" t="s">
        <v>638</v>
      </c>
      <c r="C75" s="482"/>
      <c r="D75" s="482"/>
      <c r="E75" s="482"/>
      <c r="F75" s="482"/>
    </row>
    <row r="76" spans="1:6">
      <c r="A76" s="405" t="s">
        <v>639</v>
      </c>
      <c r="B76" s="484" t="s">
        <v>116</v>
      </c>
      <c r="C76" s="482"/>
      <c r="D76" s="482"/>
      <c r="E76" s="482"/>
      <c r="F76" s="482"/>
    </row>
    <row r="77" spans="1:6">
      <c r="A77" s="405" t="s">
        <v>640</v>
      </c>
      <c r="B77" s="428" t="s">
        <v>311</v>
      </c>
      <c r="C77" s="482"/>
      <c r="D77" s="482"/>
      <c r="E77" s="482"/>
      <c r="F77" s="482"/>
    </row>
    <row r="78" spans="1:6">
      <c r="A78" s="405" t="s">
        <v>641</v>
      </c>
      <c r="B78" s="405" t="s">
        <v>642</v>
      </c>
      <c r="C78" s="482"/>
      <c r="D78" s="482"/>
      <c r="E78" s="482"/>
      <c r="F78" s="482"/>
    </row>
    <row r="79" spans="1:6">
      <c r="A79" s="405" t="s">
        <v>643</v>
      </c>
      <c r="B79" s="428" t="s">
        <v>313</v>
      </c>
      <c r="C79" s="482"/>
      <c r="D79" s="482"/>
      <c r="E79" s="482"/>
      <c r="F79" s="482"/>
    </row>
    <row r="80" spans="1:6">
      <c r="A80" s="405" t="s">
        <v>644</v>
      </c>
      <c r="B80" s="428" t="s">
        <v>315</v>
      </c>
      <c r="C80" s="482"/>
      <c r="D80" s="482"/>
      <c r="E80" s="482"/>
      <c r="F80" s="482"/>
    </row>
    <row r="81" spans="1:6">
      <c r="A81" s="405" t="s">
        <v>645</v>
      </c>
      <c r="B81" s="428" t="s">
        <v>317</v>
      </c>
      <c r="C81" s="482"/>
      <c r="D81" s="482"/>
      <c r="E81" s="482"/>
      <c r="F81" s="482"/>
    </row>
    <row r="82" spans="1:6">
      <c r="A82" s="405" t="s">
        <v>646</v>
      </c>
      <c r="B82" s="428" t="s">
        <v>319</v>
      </c>
      <c r="C82" s="482"/>
      <c r="D82" s="482"/>
      <c r="E82" s="482"/>
      <c r="F82" s="482"/>
    </row>
    <row r="83" spans="1:6">
      <c r="A83" s="405" t="s">
        <v>647</v>
      </c>
      <c r="B83" s="428" t="s">
        <v>321</v>
      </c>
      <c r="C83" s="482"/>
      <c r="D83" s="482"/>
      <c r="E83" s="482"/>
      <c r="F83" s="482"/>
    </row>
    <row r="84" spans="1:6">
      <c r="A84" s="405" t="s">
        <v>648</v>
      </c>
      <c r="B84" s="428" t="s">
        <v>323</v>
      </c>
      <c r="C84" s="482"/>
      <c r="D84" s="482"/>
      <c r="E84" s="482"/>
      <c r="F84" s="482"/>
    </row>
    <row r="85" spans="1:6">
      <c r="A85" s="405" t="s">
        <v>649</v>
      </c>
      <c r="B85" s="428" t="s">
        <v>325</v>
      </c>
      <c r="C85" s="482"/>
      <c r="D85" s="482"/>
      <c r="E85" s="482"/>
      <c r="F85" s="482"/>
    </row>
    <row r="86" spans="1:6">
      <c r="A86" s="405" t="s">
        <v>650</v>
      </c>
      <c r="B86" s="428" t="s">
        <v>327</v>
      </c>
      <c r="C86" s="482"/>
      <c r="D86" s="482"/>
      <c r="E86" s="482"/>
      <c r="F86" s="482"/>
    </row>
    <row r="87" spans="1:6">
      <c r="A87" s="405" t="s">
        <v>651</v>
      </c>
      <c r="B87" s="428" t="s">
        <v>116</v>
      </c>
      <c r="C87" s="482"/>
      <c r="D87" s="482"/>
      <c r="E87" s="482"/>
      <c r="F87" s="482"/>
    </row>
    <row r="88" spans="1:6">
      <c r="A88" s="405" t="s">
        <v>652</v>
      </c>
      <c r="B88" s="451" t="s">
        <v>120</v>
      </c>
      <c r="C88" s="482"/>
      <c r="D88" s="482"/>
      <c r="E88" s="482"/>
      <c r="F88" s="482"/>
    </row>
    <row r="89" spans="1:6">
      <c r="A89" s="405" t="s">
        <v>653</v>
      </c>
      <c r="B89" s="451" t="s">
        <v>120</v>
      </c>
      <c r="C89" s="482"/>
      <c r="D89" s="482"/>
      <c r="E89" s="482"/>
      <c r="F89" s="482"/>
    </row>
    <row r="90" spans="1:6">
      <c r="A90" s="405" t="s">
        <v>654</v>
      </c>
      <c r="B90" s="451" t="s">
        <v>120</v>
      </c>
      <c r="C90" s="526"/>
      <c r="D90" s="482"/>
      <c r="E90" s="482"/>
      <c r="F90" s="482"/>
    </row>
    <row r="91" spans="1:6">
      <c r="A91" s="405" t="s">
        <v>655</v>
      </c>
      <c r="B91" s="451" t="s">
        <v>120</v>
      </c>
      <c r="C91" s="482"/>
      <c r="D91" s="482"/>
      <c r="E91" s="482"/>
      <c r="F91" s="482"/>
    </row>
    <row r="92" spans="1:6">
      <c r="A92" s="405" t="s">
        <v>656</v>
      </c>
      <c r="B92" s="451" t="s">
        <v>120</v>
      </c>
      <c r="C92" s="482"/>
      <c r="D92" s="482"/>
      <c r="E92" s="482"/>
      <c r="F92" s="482"/>
    </row>
    <row r="93" spans="1:6">
      <c r="A93" s="405" t="s">
        <v>657</v>
      </c>
      <c r="B93" s="451" t="s">
        <v>120</v>
      </c>
      <c r="C93" s="482"/>
      <c r="D93" s="482"/>
      <c r="E93" s="482"/>
      <c r="F93" s="482"/>
    </row>
    <row r="94" spans="1:6">
      <c r="A94" s="405" t="s">
        <v>658</v>
      </c>
      <c r="B94" s="451" t="s">
        <v>120</v>
      </c>
      <c r="C94" s="482"/>
      <c r="D94" s="482"/>
      <c r="E94" s="482"/>
      <c r="F94" s="482"/>
    </row>
    <row r="95" spans="1:6">
      <c r="A95" s="405" t="s">
        <v>659</v>
      </c>
      <c r="B95" s="451" t="s">
        <v>120</v>
      </c>
      <c r="C95" s="482"/>
      <c r="D95" s="482"/>
      <c r="E95" s="482"/>
      <c r="F95" s="482"/>
    </row>
    <row r="96" spans="1:6">
      <c r="A96" s="405" t="s">
        <v>660</v>
      </c>
      <c r="B96" s="451" t="s">
        <v>120</v>
      </c>
      <c r="C96" s="482"/>
      <c r="D96" s="482"/>
      <c r="E96" s="482"/>
      <c r="F96" s="482"/>
    </row>
    <row r="97" spans="1:7">
      <c r="A97" s="405" t="s">
        <v>661</v>
      </c>
      <c r="B97" s="451" t="s">
        <v>120</v>
      </c>
      <c r="C97" s="482"/>
      <c r="D97" s="482"/>
      <c r="E97" s="482"/>
      <c r="F97" s="482"/>
    </row>
    <row r="98" spans="1:7">
      <c r="A98" s="433"/>
      <c r="B98" s="489" t="s">
        <v>26</v>
      </c>
      <c r="C98" s="433" t="s">
        <v>567</v>
      </c>
      <c r="D98" s="433" t="s">
        <v>568</v>
      </c>
      <c r="E98" s="435"/>
      <c r="F98" s="436" t="s">
        <v>532</v>
      </c>
      <c r="G98" s="436"/>
    </row>
    <row r="99" spans="1:7">
      <c r="A99" s="405" t="s">
        <v>662</v>
      </c>
      <c r="B99" s="428" t="s" vm="1">
        <v>663</v>
      </c>
      <c r="C99" s="482">
        <v>3.5366641398397215E-2</v>
      </c>
      <c r="D99" s="482">
        <v>1.3166635823442316E-2</v>
      </c>
      <c r="E99" s="482"/>
      <c r="F99" s="482">
        <v>3.4764408960563702E-2</v>
      </c>
      <c r="G99" s="524"/>
    </row>
    <row r="100" spans="1:7">
      <c r="A100" s="405" t="s">
        <v>664</v>
      </c>
      <c r="B100" s="428" t="s">
        <v>665</v>
      </c>
      <c r="C100" s="482">
        <v>5.0335301952096879E-2</v>
      </c>
      <c r="D100" s="482">
        <v>4.5073287638255896E-2</v>
      </c>
      <c r="E100" s="482"/>
      <c r="F100" s="482">
        <v>5.0192556235324877E-2</v>
      </c>
      <c r="G100" s="524"/>
    </row>
    <row r="101" spans="1:7">
      <c r="A101" s="405" t="s">
        <v>666</v>
      </c>
      <c r="B101" s="428" t="s">
        <v>667</v>
      </c>
      <c r="C101" s="482">
        <v>0.16232704959480099</v>
      </c>
      <c r="D101" s="482">
        <v>0.18926116158539674</v>
      </c>
      <c r="E101" s="482"/>
      <c r="F101" s="482">
        <v>0.16348449781984245</v>
      </c>
      <c r="G101" s="524"/>
    </row>
    <row r="102" spans="1:7">
      <c r="A102" s="405" t="s">
        <v>668</v>
      </c>
      <c r="B102" s="428" t="s">
        <v>669</v>
      </c>
      <c r="C102" s="482">
        <v>6.9623967748449062E-2</v>
      </c>
      <c r="D102" s="482">
        <v>4.0403131198807195E-2</v>
      </c>
      <c r="E102" s="482"/>
      <c r="F102" s="482">
        <v>6.8831277153331441E-2</v>
      </c>
      <c r="G102" s="524"/>
    </row>
    <row r="103" spans="1:7">
      <c r="A103" s="405" t="s">
        <v>670</v>
      </c>
      <c r="B103" s="428" t="s" vm="2">
        <v>671</v>
      </c>
      <c r="C103" s="482">
        <v>2.4543898215351852E-2</v>
      </c>
      <c r="D103" s="482">
        <v>0.12238554098140428</v>
      </c>
      <c r="E103" s="482"/>
      <c r="F103" s="482">
        <v>2.7198105253529843E-2</v>
      </c>
      <c r="G103" s="524"/>
    </row>
    <row r="104" spans="1:7">
      <c r="A104" s="405" t="s">
        <v>672</v>
      </c>
      <c r="B104" s="428" t="s" vm="3">
        <v>673</v>
      </c>
      <c r="C104" s="482">
        <v>0.11664181664824608</v>
      </c>
      <c r="D104" s="482">
        <v>6.4263035817571063E-2</v>
      </c>
      <c r="E104" s="482"/>
      <c r="F104" s="482">
        <v>0.11522090705595336</v>
      </c>
      <c r="G104" s="524"/>
    </row>
    <row r="105" spans="1:7">
      <c r="A105" s="405" t="s">
        <v>674</v>
      </c>
      <c r="B105" s="428" t="s" vm="4">
        <v>675</v>
      </c>
      <c r="C105" s="482">
        <v>2.4327465213558525E-2</v>
      </c>
      <c r="D105" s="482">
        <v>1.8313652973402542E-2</v>
      </c>
      <c r="E105" s="482"/>
      <c r="F105" s="482">
        <v>2.4164325038037664E-2</v>
      </c>
      <c r="G105" s="524"/>
    </row>
    <row r="106" spans="1:7">
      <c r="A106" s="405" t="s">
        <v>676</v>
      </c>
      <c r="B106" s="428" t="s" vm="5">
        <v>677</v>
      </c>
      <c r="C106" s="482">
        <v>9.4934243992747924E-3</v>
      </c>
      <c r="D106" s="482">
        <v>6.5460619459356177E-3</v>
      </c>
      <c r="E106" s="482"/>
      <c r="F106" s="482">
        <v>9.4134695871257411E-3</v>
      </c>
      <c r="G106" s="524"/>
    </row>
    <row r="107" spans="1:7">
      <c r="A107" s="405" t="s">
        <v>678</v>
      </c>
      <c r="B107" s="428" t="s" vm="6">
        <v>679</v>
      </c>
      <c r="C107" s="482">
        <v>8.7019272927187113E-2</v>
      </c>
      <c r="D107" s="482">
        <v>0.50058749203578445</v>
      </c>
      <c r="E107" s="482"/>
      <c r="F107" s="482">
        <v>9.8238378073954316E-2</v>
      </c>
      <c r="G107" s="524"/>
    </row>
    <row r="108" spans="1:7">
      <c r="A108" s="433"/>
      <c r="B108" s="434" t="s">
        <v>680</v>
      </c>
      <c r="C108" s="433" t="s">
        <v>567</v>
      </c>
      <c r="D108" s="433" t="s">
        <v>568</v>
      </c>
      <c r="E108" s="435"/>
      <c r="F108" s="436" t="s">
        <v>532</v>
      </c>
      <c r="G108" s="436"/>
    </row>
    <row r="109" spans="1:7">
      <c r="A109" s="405" t="s">
        <v>681</v>
      </c>
      <c r="B109" s="405" t="s">
        <v>682</v>
      </c>
      <c r="C109" s="482">
        <v>0.8065878293320744</v>
      </c>
      <c r="D109" s="482">
        <v>0.50563856997668999</v>
      </c>
      <c r="E109" s="482"/>
      <c r="F109" s="482">
        <v>0.79842380407929459</v>
      </c>
    </row>
    <row r="110" spans="1:7">
      <c r="A110" s="405" t="s">
        <v>683</v>
      </c>
      <c r="B110" s="405" t="s">
        <v>684</v>
      </c>
      <c r="C110" s="482">
        <v>0.19341217066792271</v>
      </c>
      <c r="D110" s="482">
        <v>0.49436143002331001</v>
      </c>
      <c r="E110" s="482"/>
      <c r="F110" s="482">
        <v>0.20157619592070261</v>
      </c>
    </row>
    <row r="111" spans="1:7">
      <c r="A111" s="405" t="s">
        <v>685</v>
      </c>
      <c r="B111" s="405" t="s">
        <v>116</v>
      </c>
      <c r="C111" s="482">
        <v>0</v>
      </c>
      <c r="D111" s="482">
        <v>0</v>
      </c>
      <c r="E111" s="523"/>
      <c r="F111" s="482">
        <v>0</v>
      </c>
    </row>
    <row r="112" spans="1:7">
      <c r="A112" s="405" t="s">
        <v>686</v>
      </c>
      <c r="B112" s="405"/>
      <c r="C112" s="482"/>
      <c r="D112" s="482"/>
      <c r="E112" s="482"/>
      <c r="F112" s="482"/>
    </row>
    <row r="113" spans="1:7">
      <c r="A113" s="405" t="s">
        <v>687</v>
      </c>
      <c r="B113" s="405"/>
      <c r="C113" s="482"/>
      <c r="D113" s="482"/>
      <c r="E113" s="482"/>
      <c r="F113" s="482"/>
    </row>
    <row r="114" spans="1:7">
      <c r="A114" s="412" t="s">
        <v>688</v>
      </c>
      <c r="C114" s="490"/>
      <c r="D114" s="490"/>
      <c r="E114" s="482"/>
      <c r="F114" s="490"/>
    </row>
    <row r="115" spans="1:7">
      <c r="A115" s="412" t="s">
        <v>689</v>
      </c>
      <c r="C115" s="490"/>
      <c r="D115" s="490"/>
      <c r="E115" s="482"/>
      <c r="F115" s="490"/>
    </row>
    <row r="116" spans="1:7">
      <c r="A116" s="412" t="s">
        <v>690</v>
      </c>
      <c r="C116" s="490"/>
      <c r="D116" s="490"/>
      <c r="E116" s="482"/>
      <c r="F116" s="490"/>
    </row>
    <row r="117" spans="1:7">
      <c r="A117" s="412" t="s">
        <v>691</v>
      </c>
      <c r="C117" s="490"/>
      <c r="D117" s="490"/>
      <c r="E117" s="482"/>
      <c r="F117" s="490"/>
    </row>
    <row r="118" spans="1:7">
      <c r="A118" s="433"/>
      <c r="B118" s="434" t="s">
        <v>27</v>
      </c>
      <c r="C118" s="433" t="s">
        <v>567</v>
      </c>
      <c r="D118" s="433" t="s">
        <v>568</v>
      </c>
      <c r="E118" s="435"/>
      <c r="F118" s="436" t="s">
        <v>532</v>
      </c>
      <c r="G118" s="436"/>
    </row>
    <row r="119" spans="1:7">
      <c r="A119" s="405" t="s">
        <v>692</v>
      </c>
      <c r="B119" s="405" t="s">
        <v>693</v>
      </c>
      <c r="C119" s="482">
        <v>1.6248545744998094E-2</v>
      </c>
      <c r="D119" s="482">
        <v>0.13973165814602426</v>
      </c>
      <c r="E119" s="482"/>
      <c r="F119" s="482">
        <v>1.9598343814257877E-2</v>
      </c>
    </row>
    <row r="120" spans="1:7">
      <c r="A120" s="405" t="s">
        <v>694</v>
      </c>
      <c r="B120" s="405" t="s">
        <v>695</v>
      </c>
      <c r="C120" s="523">
        <v>0.87216302266534806</v>
      </c>
      <c r="D120" s="523">
        <v>0.86026834185397572</v>
      </c>
      <c r="E120" s="482"/>
      <c r="F120" s="523">
        <v>0.87184034875438454</v>
      </c>
    </row>
    <row r="121" spans="1:7">
      <c r="A121" s="405" t="s">
        <v>696</v>
      </c>
      <c r="B121" s="405" t="s">
        <v>116</v>
      </c>
      <c r="C121" s="482">
        <v>0.11158843158965386</v>
      </c>
      <c r="D121" s="482">
        <v>0</v>
      </c>
      <c r="E121" s="514"/>
      <c r="F121" s="482">
        <v>0.10856130743135765</v>
      </c>
    </row>
    <row r="122" spans="1:7">
      <c r="A122" s="405" t="s">
        <v>697</v>
      </c>
      <c r="B122" s="405"/>
      <c r="C122" s="405"/>
      <c r="D122" s="405"/>
      <c r="E122" s="405"/>
      <c r="F122" s="405"/>
    </row>
    <row r="123" spans="1:7">
      <c r="A123" s="405" t="s">
        <v>698</v>
      </c>
      <c r="B123" s="405"/>
      <c r="C123" s="405"/>
      <c r="D123" s="405"/>
      <c r="E123" s="405"/>
      <c r="F123" s="405"/>
    </row>
    <row r="124" spans="1:7">
      <c r="A124" s="405" t="s">
        <v>699</v>
      </c>
      <c r="B124" s="405"/>
      <c r="C124" s="405"/>
      <c r="D124" s="405"/>
      <c r="E124" s="405"/>
      <c r="F124" s="405"/>
    </row>
    <row r="125" spans="1:7">
      <c r="A125" s="412" t="s">
        <v>700</v>
      </c>
      <c r="E125" s="405"/>
    </row>
    <row r="126" spans="1:7">
      <c r="A126" s="412" t="s">
        <v>701</v>
      </c>
      <c r="E126" s="405"/>
    </row>
    <row r="127" spans="1:7">
      <c r="A127" s="412" t="s">
        <v>702</v>
      </c>
      <c r="E127" s="405"/>
    </row>
    <row r="128" spans="1:7">
      <c r="A128" s="433"/>
      <c r="B128" s="434" t="s">
        <v>703</v>
      </c>
      <c r="C128" s="433" t="s">
        <v>567</v>
      </c>
      <c r="D128" s="433" t="s">
        <v>568</v>
      </c>
      <c r="E128" s="435"/>
      <c r="F128" s="436" t="s">
        <v>532</v>
      </c>
      <c r="G128" s="436"/>
    </row>
    <row r="129" spans="1:7">
      <c r="A129" s="405" t="s">
        <v>704</v>
      </c>
      <c r="B129" s="428" t="s">
        <v>705</v>
      </c>
      <c r="C129" s="482">
        <v>5.5910128539757319E-2</v>
      </c>
      <c r="D129" s="482">
        <v>4.9422186482434148E-2</v>
      </c>
      <c r="E129" s="482"/>
      <c r="F129" s="482">
        <v>5.5734126369464516E-2</v>
      </c>
    </row>
    <row r="130" spans="1:7">
      <c r="A130" s="405" t="s">
        <v>706</v>
      </c>
      <c r="B130" s="428" t="s">
        <v>707</v>
      </c>
      <c r="C130" s="482">
        <v>5.6430116399877613E-2</v>
      </c>
      <c r="D130" s="482">
        <v>0.13062027920574232</v>
      </c>
      <c r="E130" s="514"/>
      <c r="F130" s="482">
        <v>5.8442716012025782E-2</v>
      </c>
    </row>
    <row r="131" spans="1:7">
      <c r="A131" s="405" t="s">
        <v>708</v>
      </c>
      <c r="B131" s="428" t="s">
        <v>709</v>
      </c>
      <c r="C131" s="482">
        <v>9.9816310257553567E-2</v>
      </c>
      <c r="D131" s="482">
        <v>4.4547310870604977E-2</v>
      </c>
      <c r="E131" s="514"/>
      <c r="F131" s="482">
        <v>9.8316996028778247E-2</v>
      </c>
    </row>
    <row r="132" spans="1:7">
      <c r="A132" s="405" t="s">
        <v>710</v>
      </c>
      <c r="B132" s="428" t="s">
        <v>711</v>
      </c>
      <c r="C132" s="482">
        <v>0.45776168553862379</v>
      </c>
      <c r="D132" s="482">
        <v>0.12961128846880654</v>
      </c>
      <c r="E132" s="514"/>
      <c r="F132" s="482">
        <v>0.44885975923341859</v>
      </c>
    </row>
    <row r="133" spans="1:7">
      <c r="A133" s="405" t="s">
        <v>712</v>
      </c>
      <c r="B133" s="428" t="s">
        <v>713</v>
      </c>
      <c r="C133" s="482">
        <v>0.33008175926418537</v>
      </c>
      <c r="D133" s="482">
        <v>0.64579893497241181</v>
      </c>
      <c r="E133" s="514"/>
      <c r="F133" s="482">
        <v>0.33864640235631055</v>
      </c>
    </row>
    <row r="134" spans="1:7">
      <c r="A134" s="405" t="s">
        <v>714</v>
      </c>
      <c r="B134" s="426"/>
      <c r="C134" s="482"/>
      <c r="D134" s="482"/>
      <c r="E134" s="482"/>
      <c r="F134" s="482"/>
    </row>
    <row r="135" spans="1:7">
      <c r="A135" s="412" t="s">
        <v>715</v>
      </c>
      <c r="B135" s="427"/>
      <c r="C135" s="490"/>
      <c r="D135" s="490"/>
      <c r="E135" s="490"/>
      <c r="F135" s="490"/>
    </row>
    <row r="136" spans="1:7">
      <c r="A136" s="412" t="s">
        <v>716</v>
      </c>
      <c r="B136" s="428"/>
      <c r="C136" s="490"/>
      <c r="D136" s="490"/>
      <c r="E136" s="490"/>
      <c r="F136" s="490"/>
    </row>
    <row r="137" spans="1:7">
      <c r="A137" s="412" t="s">
        <v>717</v>
      </c>
      <c r="B137" s="428"/>
      <c r="C137" s="490"/>
      <c r="D137" s="490"/>
      <c r="E137" s="490"/>
      <c r="F137" s="490"/>
    </row>
    <row r="138" spans="1:7">
      <c r="A138" s="433"/>
      <c r="B138" s="434" t="s">
        <v>718</v>
      </c>
      <c r="C138" s="433" t="s">
        <v>567</v>
      </c>
      <c r="D138" s="433" t="s">
        <v>568</v>
      </c>
      <c r="E138" s="435"/>
      <c r="F138" s="436" t="s">
        <v>532</v>
      </c>
      <c r="G138" s="436"/>
    </row>
    <row r="139" spans="1:7">
      <c r="A139" s="405" t="s">
        <v>719</v>
      </c>
      <c r="B139" s="405" t="s">
        <v>720</v>
      </c>
      <c r="C139" s="482">
        <v>0</v>
      </c>
      <c r="D139" s="482">
        <v>0</v>
      </c>
      <c r="E139" s="482"/>
      <c r="F139" s="482">
        <v>0</v>
      </c>
    </row>
    <row r="140" spans="1:7">
      <c r="A140" s="405" t="s">
        <v>721</v>
      </c>
      <c r="B140" s="491"/>
      <c r="C140" s="482"/>
      <c r="D140" s="482"/>
      <c r="E140" s="482"/>
      <c r="F140" s="482"/>
    </row>
    <row r="141" spans="1:7">
      <c r="A141" s="412" t="s">
        <v>722</v>
      </c>
      <c r="B141" s="492"/>
      <c r="C141" s="490"/>
      <c r="D141" s="490"/>
      <c r="E141" s="482"/>
      <c r="F141" s="490"/>
    </row>
    <row r="142" spans="1:7">
      <c r="A142" s="412" t="s">
        <v>723</v>
      </c>
      <c r="B142" s="492"/>
      <c r="C142" s="490"/>
      <c r="D142" s="490"/>
      <c r="E142" s="482"/>
      <c r="F142" s="490"/>
    </row>
    <row r="143" spans="1:7">
      <c r="A143" s="412" t="s">
        <v>724</v>
      </c>
      <c r="B143" s="492"/>
      <c r="C143" s="490"/>
      <c r="D143" s="490"/>
      <c r="E143" s="482"/>
      <c r="F143" s="490"/>
    </row>
    <row r="144" spans="1:7" ht="18.75">
      <c r="A144" s="493"/>
      <c r="B144" s="494" t="s">
        <v>529</v>
      </c>
      <c r="C144" s="493"/>
      <c r="D144" s="493"/>
      <c r="E144" s="493"/>
      <c r="F144" s="495"/>
      <c r="G144" s="495"/>
    </row>
    <row r="145" spans="1:7">
      <c r="A145" s="433"/>
      <c r="B145" s="434" t="s">
        <v>725</v>
      </c>
      <c r="C145" s="433" t="s">
        <v>726</v>
      </c>
      <c r="D145" s="433" t="s">
        <v>727</v>
      </c>
      <c r="E145" s="435"/>
      <c r="F145" s="433" t="s">
        <v>567</v>
      </c>
      <c r="G145" s="433" t="s">
        <v>728</v>
      </c>
    </row>
    <row r="146" spans="1:7">
      <c r="A146" s="405" t="s">
        <v>729</v>
      </c>
      <c r="B146" s="428" t="s">
        <v>730</v>
      </c>
      <c r="C146" s="515">
        <v>129793303.59109993</v>
      </c>
      <c r="D146" s="514"/>
      <c r="E146" s="521"/>
      <c r="F146" s="521"/>
      <c r="G146" s="521"/>
    </row>
    <row r="147" spans="1:7">
      <c r="A147" s="423"/>
      <c r="B147" s="496"/>
      <c r="C147" s="515"/>
      <c r="D147" s="521"/>
      <c r="E147" s="521"/>
      <c r="F147" s="521"/>
      <c r="G147" s="521"/>
    </row>
    <row r="148" spans="1:7">
      <c r="A148" s="405"/>
      <c r="B148" s="428" t="s">
        <v>28</v>
      </c>
      <c r="C148" s="515"/>
      <c r="D148" s="521"/>
      <c r="E148" s="521"/>
      <c r="F148" s="521"/>
      <c r="G148" s="521"/>
    </row>
    <row r="149" spans="1:7">
      <c r="A149" s="405" t="s">
        <v>731</v>
      </c>
      <c r="B149" s="405" t="s">
        <v>732</v>
      </c>
      <c r="C149" s="519">
        <v>1880.4368474999997</v>
      </c>
      <c r="D149" s="514">
        <v>40116</v>
      </c>
      <c r="E149" s="521"/>
      <c r="F149" s="517">
        <v>0.17183307922949345</v>
      </c>
      <c r="G149" s="517">
        <v>0.47579286951158761</v>
      </c>
    </row>
    <row r="150" spans="1:7">
      <c r="A150" s="405" t="s">
        <v>733</v>
      </c>
      <c r="B150" s="405" t="s">
        <v>734</v>
      </c>
      <c r="C150" s="519">
        <v>6859.8390156400937</v>
      </c>
      <c r="D150" s="514">
        <v>38960</v>
      </c>
      <c r="E150" s="521"/>
      <c r="F150" s="517">
        <v>0.62684756610846415</v>
      </c>
      <c r="G150" s="517">
        <v>0.46208221647650449</v>
      </c>
    </row>
    <row r="151" spans="1:7">
      <c r="A151" s="405" t="s">
        <v>735</v>
      </c>
      <c r="B151" s="405" t="s">
        <v>736</v>
      </c>
      <c r="C151" s="519">
        <v>1637.7858860900035</v>
      </c>
      <c r="D151" s="514">
        <v>4523</v>
      </c>
      <c r="E151" s="521"/>
      <c r="F151" s="517">
        <v>0.14965979437150514</v>
      </c>
      <c r="G151" s="517">
        <v>5.364470906373793E-2</v>
      </c>
    </row>
    <row r="152" spans="1:7">
      <c r="A152" s="405" t="s">
        <v>737</v>
      </c>
      <c r="B152" s="405" t="s">
        <v>738</v>
      </c>
      <c r="C152" s="519">
        <v>386.98252749000028</v>
      </c>
      <c r="D152" s="514">
        <v>617</v>
      </c>
      <c r="E152" s="521"/>
      <c r="F152" s="517">
        <v>3.5362208199134521E-2</v>
      </c>
      <c r="G152" s="517">
        <v>7.3178831510781125E-3</v>
      </c>
    </row>
    <row r="153" spans="1:7">
      <c r="A153" s="405" t="s">
        <v>739</v>
      </c>
      <c r="B153" s="405" t="s">
        <v>740</v>
      </c>
      <c r="C153" s="519">
        <v>154.47914243000002</v>
      </c>
      <c r="D153" s="514">
        <v>95</v>
      </c>
      <c r="E153" s="521"/>
      <c r="F153" s="517">
        <v>1.4116202177046814E-2</v>
      </c>
      <c r="G153" s="517">
        <v>1.1267405175890124E-3</v>
      </c>
    </row>
    <row r="154" spans="1:7">
      <c r="A154" s="405" t="s">
        <v>741</v>
      </c>
      <c r="B154" s="405" t="s">
        <v>742</v>
      </c>
      <c r="C154" s="519">
        <v>23.86917983</v>
      </c>
      <c r="D154" s="514">
        <v>3</v>
      </c>
      <c r="E154" s="521"/>
      <c r="F154" s="517">
        <v>2.1811499143533143E-3</v>
      </c>
      <c r="G154" s="517">
        <v>3.5581279502810921E-5</v>
      </c>
    </row>
    <row r="155" spans="1:7">
      <c r="A155" s="405" t="s">
        <v>743</v>
      </c>
      <c r="B155" s="428" t="s">
        <v>744</v>
      </c>
      <c r="C155" s="405"/>
      <c r="D155" s="423"/>
      <c r="E155" s="423"/>
      <c r="F155" s="447" t="s">
        <v>149</v>
      </c>
      <c r="G155" s="447" t="s">
        <v>149</v>
      </c>
    </row>
    <row r="156" spans="1:7">
      <c r="A156" s="405" t="s">
        <v>745</v>
      </c>
      <c r="B156" s="428" t="s">
        <v>744</v>
      </c>
      <c r="C156" s="423"/>
      <c r="D156" s="423"/>
      <c r="E156" s="423"/>
      <c r="F156" s="447" t="s">
        <v>149</v>
      </c>
      <c r="G156" s="447" t="s">
        <v>149</v>
      </c>
    </row>
    <row r="157" spans="1:7">
      <c r="A157" s="405" t="s">
        <v>746</v>
      </c>
      <c r="B157" s="428" t="s">
        <v>744</v>
      </c>
      <c r="C157" s="423"/>
      <c r="D157" s="423"/>
      <c r="E157" s="423"/>
      <c r="F157" s="447" t="s">
        <v>149</v>
      </c>
      <c r="G157" s="447" t="s">
        <v>149</v>
      </c>
    </row>
    <row r="158" spans="1:7">
      <c r="A158" s="405" t="s">
        <v>747</v>
      </c>
      <c r="B158" s="428" t="s">
        <v>744</v>
      </c>
      <c r="C158" s="423"/>
      <c r="D158" s="423"/>
      <c r="E158" s="428"/>
      <c r="F158" s="447" t="s">
        <v>149</v>
      </c>
      <c r="G158" s="447" t="s">
        <v>149</v>
      </c>
    </row>
    <row r="159" spans="1:7">
      <c r="A159" s="412" t="s">
        <v>748</v>
      </c>
      <c r="B159" s="429" t="s">
        <v>744</v>
      </c>
      <c r="C159" s="497"/>
      <c r="D159" s="497"/>
      <c r="E159" s="429"/>
      <c r="F159" s="498" t="s">
        <v>149</v>
      </c>
      <c r="G159" s="498" t="s">
        <v>149</v>
      </c>
    </row>
    <row r="160" spans="1:7">
      <c r="A160" s="412" t="s">
        <v>749</v>
      </c>
      <c r="B160" s="429" t="s">
        <v>744</v>
      </c>
      <c r="C160" s="497"/>
      <c r="D160" s="497"/>
      <c r="E160" s="429"/>
      <c r="F160" s="498" t="s">
        <v>149</v>
      </c>
      <c r="G160" s="498" t="s">
        <v>149</v>
      </c>
    </row>
    <row r="161" spans="1:7">
      <c r="A161" s="412" t="s">
        <v>750</v>
      </c>
      <c r="B161" s="429" t="s">
        <v>744</v>
      </c>
      <c r="C161" s="497"/>
      <c r="D161" s="497"/>
      <c r="E161" s="429"/>
      <c r="F161" s="498" t="s">
        <v>149</v>
      </c>
      <c r="G161" s="498" t="s">
        <v>149</v>
      </c>
    </row>
    <row r="162" spans="1:7">
      <c r="A162" s="412" t="s">
        <v>751</v>
      </c>
      <c r="B162" s="429" t="s">
        <v>744</v>
      </c>
      <c r="C162" s="497"/>
      <c r="D162" s="497"/>
      <c r="E162" s="429"/>
      <c r="F162" s="498" t="s">
        <v>149</v>
      </c>
      <c r="G162" s="498" t="s">
        <v>149</v>
      </c>
    </row>
    <row r="163" spans="1:7">
      <c r="A163" s="412" t="s">
        <v>752</v>
      </c>
      <c r="B163" s="429" t="s">
        <v>744</v>
      </c>
      <c r="C163" s="497"/>
      <c r="D163" s="497"/>
      <c r="E163" s="429"/>
      <c r="F163" s="498" t="s">
        <v>149</v>
      </c>
      <c r="G163" s="498" t="s">
        <v>149</v>
      </c>
    </row>
    <row r="164" spans="1:7">
      <c r="A164" s="412" t="s">
        <v>753</v>
      </c>
      <c r="B164" s="429" t="s">
        <v>744</v>
      </c>
      <c r="C164" s="497"/>
      <c r="D164" s="497"/>
      <c r="F164" s="498" t="s">
        <v>149</v>
      </c>
      <c r="G164" s="498" t="s">
        <v>149</v>
      </c>
    </row>
    <row r="165" spans="1:7">
      <c r="A165" s="412" t="s">
        <v>754</v>
      </c>
      <c r="B165" s="429" t="s">
        <v>744</v>
      </c>
      <c r="C165" s="497"/>
      <c r="D165" s="497"/>
      <c r="E165" s="499"/>
      <c r="F165" s="498" t="s">
        <v>149</v>
      </c>
      <c r="G165" s="498" t="s">
        <v>149</v>
      </c>
    </row>
    <row r="166" spans="1:7">
      <c r="A166" s="412" t="s">
        <v>755</v>
      </c>
      <c r="B166" s="429" t="s">
        <v>744</v>
      </c>
      <c r="C166" s="497"/>
      <c r="D166" s="497"/>
      <c r="E166" s="499"/>
      <c r="F166" s="498" t="s">
        <v>149</v>
      </c>
      <c r="G166" s="498" t="s">
        <v>149</v>
      </c>
    </row>
    <row r="167" spans="1:7">
      <c r="A167" s="412" t="s">
        <v>756</v>
      </c>
      <c r="B167" s="429" t="s">
        <v>744</v>
      </c>
      <c r="C167" s="497"/>
      <c r="D167" s="497"/>
      <c r="E167" s="499"/>
      <c r="F167" s="498" t="s">
        <v>149</v>
      </c>
      <c r="G167" s="498" t="s">
        <v>149</v>
      </c>
    </row>
    <row r="168" spans="1:7">
      <c r="A168" s="412" t="s">
        <v>757</v>
      </c>
      <c r="B168" s="429" t="s">
        <v>744</v>
      </c>
      <c r="C168" s="497"/>
      <c r="D168" s="497"/>
      <c r="E168" s="499"/>
      <c r="F168" s="498" t="s">
        <v>149</v>
      </c>
      <c r="G168" s="498" t="s">
        <v>149</v>
      </c>
    </row>
    <row r="169" spans="1:7">
      <c r="A169" s="412" t="s">
        <v>758</v>
      </c>
      <c r="B169" s="429" t="s">
        <v>744</v>
      </c>
      <c r="C169" s="497"/>
      <c r="D169" s="497"/>
      <c r="E169" s="499"/>
      <c r="F169" s="498" t="s">
        <v>149</v>
      </c>
      <c r="G169" s="498" t="s">
        <v>149</v>
      </c>
    </row>
    <row r="170" spans="1:7">
      <c r="A170" s="412" t="s">
        <v>759</v>
      </c>
      <c r="B170" s="429" t="s">
        <v>744</v>
      </c>
      <c r="C170" s="497"/>
      <c r="D170" s="497"/>
      <c r="E170" s="499"/>
      <c r="F170" s="498" t="s">
        <v>149</v>
      </c>
      <c r="G170" s="498" t="s">
        <v>149</v>
      </c>
    </row>
    <row r="171" spans="1:7">
      <c r="A171" s="412" t="s">
        <v>760</v>
      </c>
      <c r="B171" s="429" t="s">
        <v>744</v>
      </c>
      <c r="C171" s="497"/>
      <c r="D171" s="497"/>
      <c r="E171" s="499"/>
      <c r="F171" s="498" t="s">
        <v>149</v>
      </c>
      <c r="G171" s="498" t="s">
        <v>149</v>
      </c>
    </row>
    <row r="172" spans="1:7">
      <c r="A172" s="412" t="s">
        <v>761</v>
      </c>
      <c r="B172" s="429" t="s">
        <v>744</v>
      </c>
      <c r="C172" s="497"/>
      <c r="D172" s="497"/>
      <c r="E172" s="499"/>
      <c r="F172" s="498" t="s">
        <v>149</v>
      </c>
      <c r="G172" s="498" t="s">
        <v>149</v>
      </c>
    </row>
    <row r="173" spans="1:7">
      <c r="A173" s="405" t="s">
        <v>762</v>
      </c>
      <c r="B173" s="449" t="s">
        <v>118</v>
      </c>
      <c r="C173" s="440">
        <v>10943.392598980097</v>
      </c>
      <c r="D173" s="511">
        <v>84314</v>
      </c>
      <c r="E173" s="510"/>
      <c r="F173" s="510">
        <v>0.99999999999999734</v>
      </c>
      <c r="G173" s="510">
        <v>0.99999999999999989</v>
      </c>
    </row>
    <row r="174" spans="1:7">
      <c r="A174" s="433"/>
      <c r="B174" s="441" t="s">
        <v>763</v>
      </c>
      <c r="C174" s="433" t="s">
        <v>726</v>
      </c>
      <c r="D174" s="433" t="s">
        <v>727</v>
      </c>
      <c r="E174" s="435"/>
      <c r="F174" s="433" t="s">
        <v>567</v>
      </c>
      <c r="G174" s="433" t="s">
        <v>728</v>
      </c>
    </row>
    <row r="175" spans="1:7">
      <c r="A175" s="405" t="s">
        <v>764</v>
      </c>
      <c r="B175" s="405" t="s">
        <v>765</v>
      </c>
      <c r="C175" s="482">
        <v>0.56337605677822689</v>
      </c>
      <c r="D175" s="514"/>
      <c r="E175" s="514"/>
      <c r="F175" s="522"/>
      <c r="G175" s="522"/>
    </row>
    <row r="176" spans="1:7">
      <c r="A176" s="405"/>
      <c r="B176" s="405"/>
      <c r="C176" s="514"/>
      <c r="D176" s="514"/>
      <c r="E176" s="514"/>
      <c r="F176" s="522"/>
      <c r="G176" s="522"/>
    </row>
    <row r="177" spans="1:7">
      <c r="A177" s="405"/>
      <c r="B177" s="428" t="s">
        <v>766</v>
      </c>
      <c r="C177" s="514"/>
      <c r="D177" s="514"/>
      <c r="E177" s="514"/>
      <c r="F177" s="522"/>
      <c r="G177" s="522"/>
    </row>
    <row r="178" spans="1:7">
      <c r="A178" s="405" t="s">
        <v>767</v>
      </c>
      <c r="B178" s="405" t="s">
        <v>768</v>
      </c>
      <c r="C178" s="515">
        <v>2091606499.9600098</v>
      </c>
      <c r="D178" s="514">
        <v>24947</v>
      </c>
      <c r="E178" s="514"/>
      <c r="F178" s="517">
        <v>0.19112962283332341</v>
      </c>
      <c r="G178" s="517">
        <v>0.29588205991887467</v>
      </c>
    </row>
    <row r="179" spans="1:7">
      <c r="A179" s="405" t="s">
        <v>769</v>
      </c>
      <c r="B179" s="405" t="s">
        <v>770</v>
      </c>
      <c r="C179" s="515">
        <v>1677369874.8199997</v>
      </c>
      <c r="D179" s="514">
        <v>12878</v>
      </c>
      <c r="E179" s="514"/>
      <c r="F179" s="517">
        <v>0.15327695316134035</v>
      </c>
      <c r="G179" s="517">
        <v>0.15273857247906636</v>
      </c>
    </row>
    <row r="180" spans="1:7">
      <c r="A180" s="405" t="s">
        <v>771</v>
      </c>
      <c r="B180" s="405" t="s">
        <v>772</v>
      </c>
      <c r="C180" s="515">
        <v>2346656510.3799915</v>
      </c>
      <c r="D180" s="514">
        <v>16812</v>
      </c>
      <c r="E180" s="514"/>
      <c r="F180" s="517">
        <v>0.21443592461434119</v>
      </c>
      <c r="G180" s="517">
        <v>0.1993974903337524</v>
      </c>
    </row>
    <row r="181" spans="1:7">
      <c r="A181" s="405" t="s">
        <v>773</v>
      </c>
      <c r="B181" s="405" t="s">
        <v>774</v>
      </c>
      <c r="C181" s="515">
        <v>2260410785.9799867</v>
      </c>
      <c r="D181" s="514">
        <v>13994</v>
      </c>
      <c r="E181" s="514"/>
      <c r="F181" s="517">
        <v>0.20655484718611802</v>
      </c>
      <c r="G181" s="517">
        <v>0.165974808454112</v>
      </c>
    </row>
    <row r="182" spans="1:7">
      <c r="A182" s="405" t="s">
        <v>775</v>
      </c>
      <c r="B182" s="405" t="s">
        <v>776</v>
      </c>
      <c r="C182" s="515">
        <v>1483889730.1299968</v>
      </c>
      <c r="D182" s="514">
        <v>8784</v>
      </c>
      <c r="E182" s="514"/>
      <c r="F182" s="517">
        <v>0.13559686511368696</v>
      </c>
      <c r="G182" s="517">
        <v>0.10418198638423037</v>
      </c>
    </row>
    <row r="183" spans="1:7">
      <c r="A183" s="405" t="s">
        <v>777</v>
      </c>
      <c r="B183" s="405" t="s">
        <v>778</v>
      </c>
      <c r="C183" s="515">
        <v>795643316.18000102</v>
      </c>
      <c r="D183" s="514">
        <v>4700</v>
      </c>
      <c r="E183" s="514"/>
      <c r="F183" s="517">
        <v>7.2705361612830033E-2</v>
      </c>
      <c r="G183" s="517">
        <v>5.574400455440378E-2</v>
      </c>
    </row>
    <row r="184" spans="1:7">
      <c r="A184" s="405" t="s">
        <v>779</v>
      </c>
      <c r="B184" s="405" t="s">
        <v>780</v>
      </c>
      <c r="C184" s="515">
        <v>147580882.32999995</v>
      </c>
      <c r="D184" s="514">
        <v>1096</v>
      </c>
      <c r="E184" s="514"/>
      <c r="F184" s="517">
        <v>1.3485843717583244E-2</v>
      </c>
      <c r="G184" s="517">
        <v>1.2999027445026923E-2</v>
      </c>
    </row>
    <row r="185" spans="1:7">
      <c r="A185" s="405" t="s">
        <v>781</v>
      </c>
      <c r="B185" s="405" t="s">
        <v>782</v>
      </c>
      <c r="C185" s="515">
        <v>140228759.19999996</v>
      </c>
      <c r="D185" s="514">
        <v>1099</v>
      </c>
      <c r="E185" s="514"/>
      <c r="F185" s="517">
        <v>1.2814011553699683E-2</v>
      </c>
      <c r="G185" s="517">
        <v>1.3034608724529734E-2</v>
      </c>
    </row>
    <row r="186" spans="1:7">
      <c r="A186" s="405" t="s">
        <v>783</v>
      </c>
      <c r="B186" s="449" t="s">
        <v>118</v>
      </c>
      <c r="C186" s="437">
        <v>10943386358.979986</v>
      </c>
      <c r="D186" s="512">
        <v>84310</v>
      </c>
      <c r="E186" s="437"/>
      <c r="F186" s="510">
        <v>0.99999942979292289</v>
      </c>
      <c r="G186" s="510">
        <v>0.99995255829399621</v>
      </c>
    </row>
    <row r="187" spans="1:7">
      <c r="A187" s="405" t="s">
        <v>784</v>
      </c>
      <c r="B187" s="451" t="s">
        <v>785</v>
      </c>
      <c r="C187" s="437"/>
      <c r="D187" s="502"/>
      <c r="E187" s="405"/>
      <c r="F187" s="447">
        <v>0</v>
      </c>
      <c r="G187" s="447">
        <v>0</v>
      </c>
    </row>
    <row r="188" spans="1:7">
      <c r="A188" s="405" t="s">
        <v>786</v>
      </c>
      <c r="B188" s="451" t="s">
        <v>787</v>
      </c>
      <c r="C188" s="439"/>
      <c r="D188" s="502"/>
      <c r="E188" s="405"/>
      <c r="F188" s="447">
        <v>0</v>
      </c>
      <c r="G188" s="447">
        <v>0</v>
      </c>
    </row>
    <row r="189" spans="1:7">
      <c r="A189" s="405" t="s">
        <v>788</v>
      </c>
      <c r="B189" s="451" t="s">
        <v>789</v>
      </c>
      <c r="C189" s="439"/>
      <c r="D189" s="502"/>
      <c r="E189" s="405"/>
      <c r="F189" s="447">
        <v>0</v>
      </c>
      <c r="G189" s="447">
        <v>0</v>
      </c>
    </row>
    <row r="190" spans="1:7">
      <c r="A190" s="405" t="s">
        <v>790</v>
      </c>
      <c r="B190" s="451" t="s">
        <v>791</v>
      </c>
      <c r="C190" s="439"/>
      <c r="D190" s="502"/>
      <c r="E190" s="405"/>
      <c r="F190" s="447">
        <v>0</v>
      </c>
      <c r="G190" s="447">
        <v>0</v>
      </c>
    </row>
    <row r="191" spans="1:7">
      <c r="A191" s="405" t="s">
        <v>792</v>
      </c>
      <c r="B191" s="451" t="s">
        <v>793</v>
      </c>
      <c r="C191" s="439"/>
      <c r="D191" s="502"/>
      <c r="E191" s="405"/>
      <c r="F191" s="447">
        <v>0</v>
      </c>
      <c r="G191" s="447">
        <v>0</v>
      </c>
    </row>
    <row r="192" spans="1:7">
      <c r="A192" s="405" t="s">
        <v>794</v>
      </c>
      <c r="B192" s="451" t="s">
        <v>795</v>
      </c>
      <c r="C192" s="439"/>
      <c r="D192" s="502"/>
      <c r="E192" s="405"/>
      <c r="F192" s="447">
        <v>0</v>
      </c>
      <c r="G192" s="447">
        <v>0</v>
      </c>
    </row>
    <row r="193" spans="1:7">
      <c r="A193" s="412" t="s">
        <v>796</v>
      </c>
      <c r="B193" s="477"/>
      <c r="F193" s="498"/>
      <c r="G193" s="498"/>
    </row>
    <row r="194" spans="1:7">
      <c r="A194" s="412" t="s">
        <v>797</v>
      </c>
      <c r="B194" s="477"/>
      <c r="F194" s="498"/>
      <c r="G194" s="498"/>
    </row>
    <row r="195" spans="1:7">
      <c r="A195" s="412" t="s">
        <v>798</v>
      </c>
      <c r="B195" s="477"/>
      <c r="F195" s="498"/>
      <c r="G195" s="498"/>
    </row>
    <row r="196" spans="1:7">
      <c r="A196" s="433"/>
      <c r="B196" s="441" t="s">
        <v>799</v>
      </c>
      <c r="C196" s="433" t="s">
        <v>726</v>
      </c>
      <c r="D196" s="433" t="s">
        <v>727</v>
      </c>
      <c r="E196" s="435"/>
      <c r="F196" s="433" t="s">
        <v>567</v>
      </c>
      <c r="G196" s="433" t="s">
        <v>728</v>
      </c>
    </row>
    <row r="197" spans="1:7">
      <c r="A197" s="405" t="s">
        <v>800</v>
      </c>
      <c r="B197" s="405" t="s">
        <v>765</v>
      </c>
      <c r="C197" s="482"/>
      <c r="D197" s="405"/>
      <c r="E197" s="405"/>
      <c r="F197" s="483"/>
      <c r="G197" s="483"/>
    </row>
    <row r="198" spans="1:7">
      <c r="A198" s="405"/>
      <c r="B198" s="405"/>
      <c r="C198" s="405"/>
      <c r="D198" s="405"/>
      <c r="E198" s="405"/>
      <c r="F198" s="483"/>
      <c r="G198" s="483"/>
    </row>
    <row r="199" spans="1:7">
      <c r="A199" s="405"/>
      <c r="B199" s="428" t="s">
        <v>766</v>
      </c>
      <c r="C199" s="405"/>
      <c r="D199" s="405"/>
      <c r="E199" s="405"/>
      <c r="F199" s="483"/>
      <c r="G199" s="483"/>
    </row>
    <row r="200" spans="1:7">
      <c r="A200" s="405" t="s">
        <v>801</v>
      </c>
      <c r="B200" s="405" t="s">
        <v>768</v>
      </c>
      <c r="C200" s="439"/>
      <c r="D200" s="502"/>
      <c r="E200" s="405"/>
      <c r="F200" s="447" t="s">
        <v>149</v>
      </c>
      <c r="G200" s="447" t="s">
        <v>149</v>
      </c>
    </row>
    <row r="201" spans="1:7">
      <c r="A201" s="405" t="s">
        <v>802</v>
      </c>
      <c r="B201" s="405" t="s">
        <v>770</v>
      </c>
      <c r="C201" s="439"/>
      <c r="D201" s="502"/>
      <c r="E201" s="405"/>
      <c r="F201" s="447" t="s">
        <v>149</v>
      </c>
      <c r="G201" s="447" t="s">
        <v>149</v>
      </c>
    </row>
    <row r="202" spans="1:7">
      <c r="A202" s="405" t="s">
        <v>803</v>
      </c>
      <c r="B202" s="405" t="s">
        <v>772</v>
      </c>
      <c r="C202" s="439"/>
      <c r="D202" s="502"/>
      <c r="E202" s="405"/>
      <c r="F202" s="447" t="s">
        <v>149</v>
      </c>
      <c r="G202" s="447" t="s">
        <v>149</v>
      </c>
    </row>
    <row r="203" spans="1:7">
      <c r="A203" s="405" t="s">
        <v>804</v>
      </c>
      <c r="B203" s="405" t="s">
        <v>774</v>
      </c>
      <c r="C203" s="439"/>
      <c r="D203" s="502"/>
      <c r="E203" s="405"/>
      <c r="F203" s="447" t="s">
        <v>149</v>
      </c>
      <c r="G203" s="447" t="s">
        <v>149</v>
      </c>
    </row>
    <row r="204" spans="1:7">
      <c r="A204" s="405" t="s">
        <v>805</v>
      </c>
      <c r="B204" s="405" t="s">
        <v>776</v>
      </c>
      <c r="C204" s="439"/>
      <c r="D204" s="502"/>
      <c r="E204" s="405"/>
      <c r="F204" s="447" t="s">
        <v>149</v>
      </c>
      <c r="G204" s="447" t="s">
        <v>149</v>
      </c>
    </row>
    <row r="205" spans="1:7">
      <c r="A205" s="405" t="s">
        <v>806</v>
      </c>
      <c r="B205" s="405" t="s">
        <v>778</v>
      </c>
      <c r="C205" s="439"/>
      <c r="D205" s="502"/>
      <c r="E205" s="405"/>
      <c r="F205" s="447" t="s">
        <v>149</v>
      </c>
      <c r="G205" s="447" t="s">
        <v>149</v>
      </c>
    </row>
    <row r="206" spans="1:7">
      <c r="A206" s="405" t="s">
        <v>807</v>
      </c>
      <c r="B206" s="405" t="s">
        <v>780</v>
      </c>
      <c r="C206" s="439"/>
      <c r="D206" s="502"/>
      <c r="E206" s="405"/>
      <c r="F206" s="447" t="s">
        <v>149</v>
      </c>
      <c r="G206" s="447" t="s">
        <v>149</v>
      </c>
    </row>
    <row r="207" spans="1:7">
      <c r="A207" s="405" t="s">
        <v>808</v>
      </c>
      <c r="B207" s="405" t="s">
        <v>782</v>
      </c>
      <c r="C207" s="439"/>
      <c r="D207" s="502"/>
      <c r="E207" s="405"/>
      <c r="F207" s="447" t="s">
        <v>149</v>
      </c>
      <c r="G207" s="447" t="s">
        <v>149</v>
      </c>
    </row>
    <row r="208" spans="1:7">
      <c r="A208" s="405" t="s">
        <v>809</v>
      </c>
      <c r="B208" s="449" t="s">
        <v>118</v>
      </c>
      <c r="C208" s="439">
        <v>0</v>
      </c>
      <c r="D208" s="502">
        <v>0</v>
      </c>
      <c r="E208" s="405"/>
      <c r="F208" s="482">
        <v>0</v>
      </c>
      <c r="G208" s="482">
        <v>0</v>
      </c>
    </row>
    <row r="209" spans="1:7">
      <c r="A209" s="405" t="s">
        <v>810</v>
      </c>
      <c r="B209" s="451" t="s">
        <v>785</v>
      </c>
      <c r="C209" s="439"/>
      <c r="D209" s="502"/>
      <c r="E209" s="405"/>
      <c r="F209" s="447" t="s">
        <v>149</v>
      </c>
      <c r="G209" s="447" t="s">
        <v>149</v>
      </c>
    </row>
    <row r="210" spans="1:7">
      <c r="A210" s="405" t="s">
        <v>811</v>
      </c>
      <c r="B210" s="451" t="s">
        <v>787</v>
      </c>
      <c r="C210" s="439"/>
      <c r="D210" s="502"/>
      <c r="E210" s="405"/>
      <c r="F210" s="447" t="s">
        <v>149</v>
      </c>
      <c r="G210" s="447" t="s">
        <v>149</v>
      </c>
    </row>
    <row r="211" spans="1:7">
      <c r="A211" s="405" t="s">
        <v>812</v>
      </c>
      <c r="B211" s="451" t="s">
        <v>789</v>
      </c>
      <c r="C211" s="439"/>
      <c r="D211" s="502"/>
      <c r="E211" s="405"/>
      <c r="F211" s="447" t="s">
        <v>149</v>
      </c>
      <c r="G211" s="447" t="s">
        <v>149</v>
      </c>
    </row>
    <row r="212" spans="1:7">
      <c r="A212" s="405" t="s">
        <v>813</v>
      </c>
      <c r="B212" s="451" t="s">
        <v>791</v>
      </c>
      <c r="C212" s="439"/>
      <c r="D212" s="502"/>
      <c r="E212" s="405"/>
      <c r="F212" s="447" t="s">
        <v>149</v>
      </c>
      <c r="G212" s="447" t="s">
        <v>149</v>
      </c>
    </row>
    <row r="213" spans="1:7">
      <c r="A213" s="405" t="s">
        <v>814</v>
      </c>
      <c r="B213" s="451" t="s">
        <v>793</v>
      </c>
      <c r="C213" s="439"/>
      <c r="D213" s="502"/>
      <c r="E213" s="405"/>
      <c r="F213" s="447" t="s">
        <v>149</v>
      </c>
      <c r="G213" s="447" t="s">
        <v>149</v>
      </c>
    </row>
    <row r="214" spans="1:7">
      <c r="A214" s="405" t="s">
        <v>815</v>
      </c>
      <c r="B214" s="451" t="s">
        <v>795</v>
      </c>
      <c r="C214" s="439"/>
      <c r="D214" s="502"/>
      <c r="E214" s="405"/>
      <c r="F214" s="447" t="s">
        <v>149</v>
      </c>
      <c r="G214" s="447" t="s">
        <v>149</v>
      </c>
    </row>
    <row r="215" spans="1:7">
      <c r="A215" s="405" t="s">
        <v>816</v>
      </c>
      <c r="B215" s="451"/>
      <c r="C215" s="405"/>
      <c r="D215" s="405"/>
      <c r="E215" s="405"/>
      <c r="F215" s="448"/>
      <c r="G215" s="448"/>
    </row>
    <row r="216" spans="1:7">
      <c r="A216" s="405" t="s">
        <v>817</v>
      </c>
      <c r="B216" s="451"/>
      <c r="C216" s="405"/>
      <c r="D216" s="405"/>
      <c r="E216" s="405"/>
      <c r="F216" s="448"/>
      <c r="G216" s="448"/>
    </row>
    <row r="217" spans="1:7">
      <c r="A217" s="405" t="s">
        <v>818</v>
      </c>
      <c r="B217" s="451"/>
      <c r="C217" s="405"/>
      <c r="D217" s="405"/>
      <c r="E217" s="405"/>
      <c r="F217" s="448"/>
      <c r="G217" s="448"/>
    </row>
    <row r="218" spans="1:7">
      <c r="A218" s="433"/>
      <c r="B218" s="441" t="s">
        <v>819</v>
      </c>
      <c r="C218" s="433" t="s">
        <v>567</v>
      </c>
      <c r="D218" s="433"/>
      <c r="E218" s="435"/>
      <c r="F218" s="433"/>
      <c r="G218" s="433"/>
    </row>
    <row r="219" spans="1:7">
      <c r="A219" s="405" t="s">
        <v>820</v>
      </c>
      <c r="B219" s="405" t="s">
        <v>821</v>
      </c>
      <c r="C219" s="482">
        <v>0.93143199035461022</v>
      </c>
      <c r="D219" s="405"/>
      <c r="E219" s="500"/>
      <c r="F219" s="500"/>
      <c r="G219" s="500"/>
    </row>
    <row r="220" spans="1:7">
      <c r="A220" s="405" t="s">
        <v>822</v>
      </c>
      <c r="B220" s="405" t="s">
        <v>823</v>
      </c>
      <c r="C220" s="482">
        <v>3.0187495971842522E-5</v>
      </c>
      <c r="D220" s="405"/>
      <c r="E220" s="500"/>
      <c r="F220" s="500"/>
    </row>
    <row r="221" spans="1:7">
      <c r="A221" s="405" t="s">
        <v>824</v>
      </c>
      <c r="B221" s="405" t="s">
        <v>825</v>
      </c>
      <c r="C221" s="482">
        <v>0</v>
      </c>
      <c r="D221" s="405"/>
      <c r="E221" s="500"/>
      <c r="F221" s="500"/>
    </row>
    <row r="222" spans="1:7">
      <c r="A222" s="405" t="s">
        <v>826</v>
      </c>
      <c r="B222" s="405" t="s">
        <v>827</v>
      </c>
      <c r="C222" s="482">
        <v>0</v>
      </c>
      <c r="D222" s="405"/>
      <c r="E222" s="500"/>
      <c r="F222" s="500"/>
    </row>
    <row r="223" spans="1:7">
      <c r="A223" s="405" t="s">
        <v>828</v>
      </c>
      <c r="B223" s="428" t="s">
        <v>829</v>
      </c>
      <c r="C223" s="482">
        <v>0</v>
      </c>
      <c r="D223" s="423"/>
      <c r="E223" s="423"/>
      <c r="F223" s="423"/>
      <c r="G223" s="423"/>
    </row>
    <row r="224" spans="1:7">
      <c r="A224" s="405" t="s">
        <v>830</v>
      </c>
      <c r="B224" s="405" t="s">
        <v>116</v>
      </c>
      <c r="C224" s="482">
        <v>6.8537822149404279E-2</v>
      </c>
      <c r="D224" s="405"/>
      <c r="E224" s="500"/>
      <c r="F224" s="500"/>
    </row>
    <row r="225" spans="1:7">
      <c r="A225" s="405" t="s">
        <v>831</v>
      </c>
      <c r="B225" s="451" t="s">
        <v>832</v>
      </c>
      <c r="C225" s="503"/>
      <c r="D225" s="405"/>
      <c r="E225" s="500"/>
      <c r="F225" s="500"/>
    </row>
    <row r="226" spans="1:7">
      <c r="A226" s="405" t="s">
        <v>833</v>
      </c>
      <c r="B226" s="451" t="s">
        <v>834</v>
      </c>
      <c r="C226" s="482"/>
      <c r="D226" s="405"/>
      <c r="E226" s="500"/>
      <c r="F226" s="500"/>
    </row>
    <row r="227" spans="1:7">
      <c r="A227" s="405" t="s">
        <v>835</v>
      </c>
      <c r="B227" s="451" t="s">
        <v>836</v>
      </c>
      <c r="C227" s="482"/>
      <c r="D227" s="405"/>
      <c r="E227" s="500"/>
      <c r="F227" s="500"/>
    </row>
    <row r="228" spans="1:7">
      <c r="A228" s="405" t="s">
        <v>837</v>
      </c>
      <c r="B228" s="451" t="s">
        <v>838</v>
      </c>
      <c r="C228" s="482"/>
      <c r="D228" s="405"/>
      <c r="E228" s="500"/>
      <c r="F228" s="500"/>
    </row>
    <row r="229" spans="1:7">
      <c r="A229" s="412" t="s">
        <v>839</v>
      </c>
      <c r="B229" s="477" t="s">
        <v>120</v>
      </c>
      <c r="C229" s="490"/>
      <c r="E229" s="499"/>
      <c r="F229" s="499"/>
    </row>
    <row r="230" spans="1:7">
      <c r="A230" s="412" t="s">
        <v>840</v>
      </c>
      <c r="B230" s="477" t="s">
        <v>120</v>
      </c>
      <c r="C230" s="490"/>
      <c r="E230" s="499"/>
      <c r="F230" s="499"/>
    </row>
    <row r="231" spans="1:7">
      <c r="A231" s="412" t="s">
        <v>841</v>
      </c>
      <c r="B231" s="477" t="s">
        <v>120</v>
      </c>
      <c r="C231" s="490"/>
      <c r="E231" s="499"/>
      <c r="F231" s="499"/>
    </row>
    <row r="232" spans="1:7">
      <c r="A232" s="412" t="s">
        <v>842</v>
      </c>
      <c r="B232" s="477" t="s">
        <v>120</v>
      </c>
      <c r="C232" s="490"/>
      <c r="E232" s="499"/>
      <c r="F232" s="499"/>
    </row>
    <row r="233" spans="1:7">
      <c r="A233" s="412" t="s">
        <v>843</v>
      </c>
      <c r="B233" s="477" t="s">
        <v>120</v>
      </c>
      <c r="C233" s="490"/>
      <c r="E233" s="499"/>
      <c r="F233" s="499"/>
    </row>
    <row r="234" spans="1:7">
      <c r="A234" s="412" t="s">
        <v>844</v>
      </c>
      <c r="B234" s="477" t="s">
        <v>120</v>
      </c>
      <c r="C234" s="490"/>
      <c r="E234" s="499"/>
      <c r="F234" s="499"/>
    </row>
    <row r="235" spans="1:7">
      <c r="A235" s="433"/>
      <c r="B235" s="441" t="s">
        <v>845</v>
      </c>
      <c r="C235" s="433" t="s">
        <v>567</v>
      </c>
      <c r="D235" s="433"/>
      <c r="E235" s="435"/>
      <c r="F235" s="433"/>
      <c r="G235" s="436"/>
    </row>
    <row r="236" spans="1:7">
      <c r="A236" s="412" t="s">
        <v>846</v>
      </c>
      <c r="B236" s="412" t="s">
        <v>847</v>
      </c>
      <c r="C236" s="412" t="s">
        <v>193</v>
      </c>
      <c r="E236" s="405"/>
      <c r="F236" s="405"/>
    </row>
    <row r="237" spans="1:7">
      <c r="A237" s="412" t="s">
        <v>848</v>
      </c>
      <c r="B237" s="412" t="s">
        <v>849</v>
      </c>
      <c r="C237" s="544">
        <v>0.27421740011956403</v>
      </c>
      <c r="E237" s="405"/>
      <c r="F237" s="405"/>
    </row>
    <row r="238" spans="1:7">
      <c r="A238" s="412" t="s">
        <v>850</v>
      </c>
      <c r="B238" s="412" t="s">
        <v>116</v>
      </c>
      <c r="C238" s="412" t="s">
        <v>193</v>
      </c>
      <c r="E238" s="405"/>
      <c r="F238" s="405"/>
    </row>
    <row r="239" spans="1:7">
      <c r="A239" s="412" t="s">
        <v>851</v>
      </c>
      <c r="C239" s="490"/>
      <c r="E239" s="405"/>
      <c r="F239" s="405"/>
    </row>
    <row r="240" spans="1:7">
      <c r="A240" s="412" t="s">
        <v>852</v>
      </c>
      <c r="C240" s="490"/>
      <c r="E240" s="405"/>
      <c r="F240" s="405"/>
    </row>
    <row r="241" spans="1:7">
      <c r="A241" s="412" t="s">
        <v>853</v>
      </c>
      <c r="C241" s="490"/>
      <c r="E241" s="405"/>
      <c r="F241" s="405"/>
    </row>
    <row r="242" spans="1:7">
      <c r="A242" s="412" t="s">
        <v>854</v>
      </c>
      <c r="C242" s="490"/>
      <c r="E242" s="405"/>
      <c r="F242" s="405"/>
    </row>
    <row r="243" spans="1:7">
      <c r="A243" s="412" t="s">
        <v>855</v>
      </c>
      <c r="C243" s="490"/>
      <c r="E243" s="405"/>
      <c r="F243" s="405"/>
    </row>
    <row r="244" spans="1:7">
      <c r="A244" s="412" t="s">
        <v>856</v>
      </c>
      <c r="C244" s="490"/>
      <c r="E244" s="405"/>
      <c r="F244" s="405"/>
    </row>
    <row r="245" spans="1:7">
      <c r="A245" s="434"/>
      <c r="B245" s="434" t="s">
        <v>857</v>
      </c>
      <c r="C245" s="434" t="s">
        <v>78</v>
      </c>
      <c r="D245" s="434" t="s">
        <v>858</v>
      </c>
      <c r="E245" s="434"/>
      <c r="F245" s="434" t="s">
        <v>567</v>
      </c>
      <c r="G245" s="434" t="s">
        <v>859</v>
      </c>
    </row>
    <row r="246" spans="1:7">
      <c r="A246" s="412" t="s">
        <v>860</v>
      </c>
      <c r="B246" s="429" t="s">
        <v>744</v>
      </c>
      <c r="E246" s="415"/>
      <c r="F246" s="498" t="s">
        <v>149</v>
      </c>
      <c r="G246" s="498" t="s">
        <v>149</v>
      </c>
    </row>
    <row r="247" spans="1:7">
      <c r="A247" s="412" t="s">
        <v>861</v>
      </c>
      <c r="B247" s="429" t="s">
        <v>744</v>
      </c>
      <c r="E247" s="415"/>
      <c r="F247" s="498" t="s">
        <v>149</v>
      </c>
      <c r="G247" s="498" t="s">
        <v>149</v>
      </c>
    </row>
    <row r="248" spans="1:7">
      <c r="A248" s="412" t="s">
        <v>862</v>
      </c>
      <c r="B248" s="429" t="s">
        <v>744</v>
      </c>
      <c r="E248" s="415"/>
      <c r="F248" s="498" t="s">
        <v>149</v>
      </c>
      <c r="G248" s="498" t="s">
        <v>149</v>
      </c>
    </row>
    <row r="249" spans="1:7">
      <c r="A249" s="412" t="s">
        <v>863</v>
      </c>
      <c r="B249" s="429" t="s">
        <v>744</v>
      </c>
      <c r="E249" s="415"/>
      <c r="F249" s="498" t="s">
        <v>149</v>
      </c>
      <c r="G249" s="498" t="s">
        <v>149</v>
      </c>
    </row>
    <row r="250" spans="1:7">
      <c r="A250" s="412" t="s">
        <v>864</v>
      </c>
      <c r="B250" s="429" t="s">
        <v>744</v>
      </c>
      <c r="E250" s="415"/>
      <c r="F250" s="498" t="s">
        <v>149</v>
      </c>
      <c r="G250" s="498" t="s">
        <v>149</v>
      </c>
    </row>
    <row r="251" spans="1:7">
      <c r="A251" s="412" t="s">
        <v>865</v>
      </c>
      <c r="B251" s="429" t="s">
        <v>744</v>
      </c>
      <c r="E251" s="415"/>
      <c r="F251" s="498" t="s">
        <v>149</v>
      </c>
      <c r="G251" s="498" t="s">
        <v>149</v>
      </c>
    </row>
    <row r="252" spans="1:7">
      <c r="A252" s="412" t="s">
        <v>866</v>
      </c>
      <c r="B252" s="429" t="s">
        <v>744</v>
      </c>
      <c r="E252" s="415"/>
      <c r="F252" s="498" t="s">
        <v>149</v>
      </c>
      <c r="G252" s="498" t="s">
        <v>149</v>
      </c>
    </row>
    <row r="253" spans="1:7">
      <c r="A253" s="412" t="s">
        <v>867</v>
      </c>
      <c r="B253" s="429" t="s">
        <v>744</v>
      </c>
      <c r="E253" s="415"/>
      <c r="F253" s="498" t="s">
        <v>149</v>
      </c>
      <c r="G253" s="498" t="s">
        <v>149</v>
      </c>
    </row>
    <row r="254" spans="1:7">
      <c r="A254" s="412" t="s">
        <v>868</v>
      </c>
      <c r="B254" s="429" t="s">
        <v>744</v>
      </c>
      <c r="E254" s="415"/>
      <c r="F254" s="498" t="s">
        <v>149</v>
      </c>
      <c r="G254" s="498" t="s">
        <v>149</v>
      </c>
    </row>
    <row r="255" spans="1:7">
      <c r="A255" s="412" t="s">
        <v>869</v>
      </c>
      <c r="B255" s="429" t="s">
        <v>744</v>
      </c>
      <c r="E255" s="415"/>
      <c r="F255" s="498" t="s">
        <v>149</v>
      </c>
      <c r="G255" s="498" t="s">
        <v>149</v>
      </c>
    </row>
    <row r="256" spans="1:7">
      <c r="A256" s="412" t="s">
        <v>870</v>
      </c>
      <c r="B256" s="429" t="s">
        <v>744</v>
      </c>
      <c r="E256" s="415"/>
      <c r="F256" s="498" t="s">
        <v>149</v>
      </c>
      <c r="G256" s="498" t="s">
        <v>149</v>
      </c>
    </row>
    <row r="257" spans="1:7">
      <c r="A257" s="412" t="s">
        <v>871</v>
      </c>
      <c r="B257" s="429" t="s">
        <v>744</v>
      </c>
      <c r="E257" s="415"/>
      <c r="F257" s="498" t="s">
        <v>149</v>
      </c>
      <c r="G257" s="498" t="s">
        <v>149</v>
      </c>
    </row>
    <row r="258" spans="1:7">
      <c r="A258" s="412" t="s">
        <v>872</v>
      </c>
      <c r="B258" s="429" t="s">
        <v>744</v>
      </c>
      <c r="E258" s="415"/>
      <c r="F258" s="498" t="s">
        <v>149</v>
      </c>
      <c r="G258" s="498" t="s">
        <v>149</v>
      </c>
    </row>
    <row r="259" spans="1:7">
      <c r="A259" s="412" t="s">
        <v>873</v>
      </c>
      <c r="B259" s="429" t="s">
        <v>744</v>
      </c>
      <c r="E259" s="415"/>
      <c r="F259" s="498" t="s">
        <v>149</v>
      </c>
      <c r="G259" s="498" t="s">
        <v>149</v>
      </c>
    </row>
    <row r="260" spans="1:7">
      <c r="A260" s="412" t="s">
        <v>874</v>
      </c>
      <c r="B260" s="429" t="s">
        <v>744</v>
      </c>
      <c r="E260" s="415"/>
      <c r="F260" s="498" t="s">
        <v>149</v>
      </c>
      <c r="G260" s="498" t="s">
        <v>149</v>
      </c>
    </row>
    <row r="261" spans="1:7">
      <c r="A261" s="412" t="s">
        <v>875</v>
      </c>
      <c r="B261" s="429" t="s">
        <v>744</v>
      </c>
      <c r="E261" s="415"/>
      <c r="F261" s="498" t="s">
        <v>149</v>
      </c>
      <c r="G261" s="498" t="s">
        <v>149</v>
      </c>
    </row>
    <row r="262" spans="1:7">
      <c r="A262" s="412" t="s">
        <v>876</v>
      </c>
      <c r="B262" s="429" t="s">
        <v>744</v>
      </c>
      <c r="E262" s="415"/>
      <c r="F262" s="498" t="s">
        <v>149</v>
      </c>
      <c r="G262" s="498" t="s">
        <v>149</v>
      </c>
    </row>
    <row r="263" spans="1:7">
      <c r="A263" s="412" t="s">
        <v>877</v>
      </c>
      <c r="B263" s="429" t="s">
        <v>878</v>
      </c>
      <c r="E263" s="415"/>
      <c r="F263" s="498" t="s">
        <v>149</v>
      </c>
      <c r="G263" s="498" t="s">
        <v>149</v>
      </c>
    </row>
    <row r="264" spans="1:7">
      <c r="A264" s="405" t="s">
        <v>879</v>
      </c>
      <c r="B264" s="428" t="s">
        <v>118</v>
      </c>
      <c r="C264" s="405">
        <v>0</v>
      </c>
      <c r="D264" s="405">
        <v>0</v>
      </c>
      <c r="E264" s="424"/>
      <c r="F264" s="483">
        <v>0</v>
      </c>
      <c r="G264" s="483">
        <v>0</v>
      </c>
    </row>
    <row r="265" spans="1:7">
      <c r="A265" s="412" t="s">
        <v>880</v>
      </c>
      <c r="B265" s="429"/>
      <c r="E265" s="415"/>
      <c r="F265" s="415"/>
      <c r="G265" s="415"/>
    </row>
    <row r="266" spans="1:7">
      <c r="A266" s="412" t="s">
        <v>881</v>
      </c>
      <c r="B266" s="429"/>
      <c r="E266" s="415"/>
      <c r="F266" s="415"/>
      <c r="G266" s="415"/>
    </row>
    <row r="267" spans="1:7">
      <c r="A267" s="412" t="s">
        <v>882</v>
      </c>
      <c r="B267" s="429"/>
      <c r="E267" s="415"/>
      <c r="F267" s="415"/>
      <c r="G267" s="415"/>
    </row>
    <row r="268" spans="1:7">
      <c r="A268" s="434"/>
      <c r="B268" s="434" t="s">
        <v>883</v>
      </c>
      <c r="C268" s="434" t="s">
        <v>78</v>
      </c>
      <c r="D268" s="434" t="s">
        <v>858</v>
      </c>
      <c r="E268" s="434"/>
      <c r="F268" s="434" t="s">
        <v>567</v>
      </c>
      <c r="G268" s="434" t="s">
        <v>859</v>
      </c>
    </row>
    <row r="269" spans="1:7">
      <c r="A269" s="412" t="s">
        <v>884</v>
      </c>
      <c r="B269" s="429" t="s">
        <v>744</v>
      </c>
      <c r="E269" s="415"/>
      <c r="F269" s="498" t="s">
        <v>149</v>
      </c>
      <c r="G269" s="498" t="s">
        <v>149</v>
      </c>
    </row>
    <row r="270" spans="1:7">
      <c r="A270" s="412" t="s">
        <v>885</v>
      </c>
      <c r="B270" s="429" t="s">
        <v>744</v>
      </c>
      <c r="E270" s="415"/>
      <c r="F270" s="415"/>
      <c r="G270" s="415"/>
    </row>
    <row r="271" spans="1:7">
      <c r="A271" s="412" t="s">
        <v>886</v>
      </c>
      <c r="B271" s="429" t="s">
        <v>744</v>
      </c>
      <c r="E271" s="415"/>
      <c r="F271" s="415"/>
      <c r="G271" s="415"/>
    </row>
    <row r="272" spans="1:7">
      <c r="A272" s="412" t="s">
        <v>887</v>
      </c>
      <c r="B272" s="429" t="s">
        <v>744</v>
      </c>
      <c r="E272" s="415"/>
      <c r="F272" s="415"/>
      <c r="G272" s="415"/>
    </row>
    <row r="273" spans="1:7">
      <c r="A273" s="412" t="s">
        <v>888</v>
      </c>
      <c r="B273" s="429" t="s">
        <v>744</v>
      </c>
      <c r="E273" s="415"/>
      <c r="F273" s="415"/>
      <c r="G273" s="415"/>
    </row>
    <row r="274" spans="1:7">
      <c r="A274" s="412" t="s">
        <v>889</v>
      </c>
      <c r="B274" s="429" t="s">
        <v>744</v>
      </c>
      <c r="E274" s="415"/>
      <c r="F274" s="415"/>
      <c r="G274" s="415"/>
    </row>
    <row r="275" spans="1:7">
      <c r="A275" s="412" t="s">
        <v>890</v>
      </c>
      <c r="B275" s="429" t="s">
        <v>744</v>
      </c>
      <c r="E275" s="415"/>
      <c r="F275" s="415"/>
      <c r="G275" s="415"/>
    </row>
    <row r="276" spans="1:7">
      <c r="A276" s="412" t="s">
        <v>891</v>
      </c>
      <c r="B276" s="429" t="s">
        <v>744</v>
      </c>
      <c r="E276" s="415"/>
      <c r="F276" s="415"/>
      <c r="G276" s="415"/>
    </row>
    <row r="277" spans="1:7">
      <c r="A277" s="412" t="s">
        <v>892</v>
      </c>
      <c r="B277" s="429" t="s">
        <v>744</v>
      </c>
      <c r="E277" s="415"/>
      <c r="F277" s="415"/>
      <c r="G277" s="415"/>
    </row>
    <row r="278" spans="1:7">
      <c r="A278" s="412" t="s">
        <v>893</v>
      </c>
      <c r="B278" s="429" t="s">
        <v>744</v>
      </c>
      <c r="E278" s="415"/>
      <c r="F278" s="415"/>
      <c r="G278" s="415"/>
    </row>
    <row r="279" spans="1:7">
      <c r="A279" s="412" t="s">
        <v>894</v>
      </c>
      <c r="B279" s="429" t="s">
        <v>744</v>
      </c>
      <c r="E279" s="415"/>
      <c r="F279" s="415"/>
      <c r="G279" s="415"/>
    </row>
    <row r="280" spans="1:7">
      <c r="A280" s="412" t="s">
        <v>895</v>
      </c>
      <c r="B280" s="429" t="s">
        <v>744</v>
      </c>
      <c r="E280" s="415"/>
      <c r="F280" s="415"/>
      <c r="G280" s="415"/>
    </row>
    <row r="281" spans="1:7">
      <c r="A281" s="412" t="s">
        <v>896</v>
      </c>
      <c r="B281" s="429" t="s">
        <v>744</v>
      </c>
      <c r="E281" s="415"/>
      <c r="F281" s="415"/>
      <c r="G281" s="415"/>
    </row>
    <row r="282" spans="1:7">
      <c r="A282" s="412" t="s">
        <v>897</v>
      </c>
      <c r="B282" s="429" t="s">
        <v>744</v>
      </c>
      <c r="E282" s="415"/>
      <c r="F282" s="415"/>
      <c r="G282" s="415"/>
    </row>
    <row r="283" spans="1:7">
      <c r="A283" s="412" t="s">
        <v>898</v>
      </c>
      <c r="B283" s="429" t="s">
        <v>744</v>
      </c>
      <c r="E283" s="415"/>
      <c r="F283" s="415"/>
      <c r="G283" s="415"/>
    </row>
    <row r="284" spans="1:7">
      <c r="A284" s="412" t="s">
        <v>899</v>
      </c>
      <c r="B284" s="429" t="s">
        <v>744</v>
      </c>
      <c r="E284" s="415"/>
      <c r="F284" s="415"/>
      <c r="G284" s="415"/>
    </row>
    <row r="285" spans="1:7">
      <c r="A285" s="412" t="s">
        <v>900</v>
      </c>
      <c r="B285" s="429" t="s">
        <v>744</v>
      </c>
      <c r="E285" s="415"/>
      <c r="F285" s="415"/>
      <c r="G285" s="415"/>
    </row>
    <row r="286" spans="1:7">
      <c r="A286" s="412" t="s">
        <v>901</v>
      </c>
      <c r="B286" s="429" t="s">
        <v>878</v>
      </c>
      <c r="E286" s="415"/>
      <c r="F286" s="415"/>
      <c r="G286" s="415"/>
    </row>
    <row r="287" spans="1:7">
      <c r="A287" s="412" t="s">
        <v>902</v>
      </c>
      <c r="B287" s="429" t="s">
        <v>118</v>
      </c>
      <c r="C287" s="412">
        <v>0</v>
      </c>
      <c r="D287" s="412">
        <v>0</v>
      </c>
      <c r="E287" s="415"/>
      <c r="F287" s="504">
        <v>0</v>
      </c>
      <c r="G287" s="504">
        <v>0</v>
      </c>
    </row>
    <row r="288" spans="1:7">
      <c r="A288" s="412" t="s">
        <v>903</v>
      </c>
      <c r="B288" s="429"/>
      <c r="E288" s="415"/>
      <c r="F288" s="415"/>
      <c r="G288" s="415"/>
    </row>
    <row r="289" spans="1:7">
      <c r="A289" s="412" t="s">
        <v>904</v>
      </c>
      <c r="B289" s="429"/>
      <c r="E289" s="415"/>
      <c r="F289" s="415"/>
      <c r="G289" s="415"/>
    </row>
    <row r="290" spans="1:7">
      <c r="A290" s="412" t="s">
        <v>905</v>
      </c>
      <c r="B290" s="429"/>
      <c r="E290" s="415"/>
      <c r="F290" s="415"/>
      <c r="G290" s="415"/>
    </row>
    <row r="291" spans="1:7">
      <c r="A291" s="434"/>
      <c r="B291" s="434" t="s">
        <v>906</v>
      </c>
      <c r="C291" s="434" t="s">
        <v>78</v>
      </c>
      <c r="D291" s="434" t="s">
        <v>858</v>
      </c>
      <c r="E291" s="434"/>
      <c r="F291" s="434" t="s">
        <v>567</v>
      </c>
      <c r="G291" s="434" t="s">
        <v>859</v>
      </c>
    </row>
    <row r="292" spans="1:7">
      <c r="A292" s="405" t="s">
        <v>907</v>
      </c>
      <c r="B292" s="428" t="s">
        <v>908</v>
      </c>
      <c r="C292" s="405"/>
      <c r="D292" s="405"/>
      <c r="E292" s="424"/>
      <c r="F292" s="447" t="s">
        <v>149</v>
      </c>
      <c r="G292" s="447" t="s">
        <v>149</v>
      </c>
    </row>
    <row r="293" spans="1:7">
      <c r="A293" s="405" t="s">
        <v>909</v>
      </c>
      <c r="B293" s="428" t="s">
        <v>910</v>
      </c>
      <c r="C293" s="405"/>
      <c r="D293" s="405"/>
      <c r="E293" s="424"/>
      <c r="F293" s="447" t="s">
        <v>149</v>
      </c>
      <c r="G293" s="447" t="s">
        <v>149</v>
      </c>
    </row>
    <row r="294" spans="1:7">
      <c r="A294" s="405" t="s">
        <v>911</v>
      </c>
      <c r="B294" s="428" t="s">
        <v>912</v>
      </c>
      <c r="C294" s="405"/>
      <c r="D294" s="405"/>
      <c r="E294" s="424"/>
      <c r="F294" s="447" t="s">
        <v>149</v>
      </c>
      <c r="G294" s="447" t="s">
        <v>149</v>
      </c>
    </row>
    <row r="295" spans="1:7">
      <c r="A295" s="405" t="s">
        <v>913</v>
      </c>
      <c r="B295" s="428" t="s">
        <v>914</v>
      </c>
      <c r="C295" s="405"/>
      <c r="D295" s="405"/>
      <c r="E295" s="424"/>
      <c r="F295" s="447" t="s">
        <v>149</v>
      </c>
      <c r="G295" s="447" t="s">
        <v>149</v>
      </c>
    </row>
    <row r="296" spans="1:7">
      <c r="A296" s="405" t="s">
        <v>915</v>
      </c>
      <c r="B296" s="428" t="s">
        <v>916</v>
      </c>
      <c r="C296" s="405"/>
      <c r="D296" s="405"/>
      <c r="E296" s="424"/>
      <c r="F296" s="447" t="s">
        <v>149</v>
      </c>
      <c r="G296" s="447" t="s">
        <v>149</v>
      </c>
    </row>
    <row r="297" spans="1:7">
      <c r="A297" s="405" t="s">
        <v>917</v>
      </c>
      <c r="B297" s="428" t="s">
        <v>918</v>
      </c>
      <c r="C297" s="405"/>
      <c r="D297" s="405"/>
      <c r="E297" s="424"/>
      <c r="F297" s="447" t="s">
        <v>149</v>
      </c>
      <c r="G297" s="447" t="s">
        <v>149</v>
      </c>
    </row>
    <row r="298" spans="1:7">
      <c r="A298" s="405" t="s">
        <v>919</v>
      </c>
      <c r="B298" s="428" t="s">
        <v>920</v>
      </c>
      <c r="C298" s="405"/>
      <c r="D298" s="405"/>
      <c r="E298" s="424"/>
      <c r="F298" s="447" t="s">
        <v>149</v>
      </c>
      <c r="G298" s="447" t="s">
        <v>149</v>
      </c>
    </row>
    <row r="299" spans="1:7">
      <c r="A299" s="405" t="s">
        <v>921</v>
      </c>
      <c r="B299" s="428" t="s">
        <v>922</v>
      </c>
      <c r="C299" s="405"/>
      <c r="D299" s="405"/>
      <c r="E299" s="424"/>
      <c r="F299" s="447" t="s">
        <v>149</v>
      </c>
      <c r="G299" s="447" t="s">
        <v>149</v>
      </c>
    </row>
    <row r="300" spans="1:7">
      <c r="A300" s="405" t="s">
        <v>923</v>
      </c>
      <c r="B300" s="428" t="s">
        <v>924</v>
      </c>
      <c r="C300" s="405"/>
      <c r="D300" s="405"/>
      <c r="E300" s="424"/>
      <c r="F300" s="447" t="s">
        <v>149</v>
      </c>
      <c r="G300" s="447" t="s">
        <v>149</v>
      </c>
    </row>
    <row r="301" spans="1:7">
      <c r="A301" s="405" t="s">
        <v>925</v>
      </c>
      <c r="B301" s="405" t="s">
        <v>878</v>
      </c>
      <c r="C301" s="405"/>
      <c r="D301" s="405"/>
      <c r="E301" s="407"/>
      <c r="F301" s="447" t="s">
        <v>149</v>
      </c>
      <c r="G301" s="447" t="s">
        <v>149</v>
      </c>
    </row>
    <row r="302" spans="1:7">
      <c r="A302" s="405" t="s">
        <v>926</v>
      </c>
      <c r="B302" s="428" t="s">
        <v>118</v>
      </c>
      <c r="C302" s="405">
        <v>0</v>
      </c>
      <c r="D302" s="405">
        <v>0</v>
      </c>
      <c r="E302" s="424"/>
      <c r="F302" s="483">
        <v>0</v>
      </c>
      <c r="G302" s="483">
        <v>0</v>
      </c>
    </row>
    <row r="303" spans="1:7">
      <c r="A303" s="405" t="s">
        <v>927</v>
      </c>
      <c r="B303" s="428"/>
      <c r="C303" s="405"/>
      <c r="D303" s="405"/>
      <c r="E303" s="424"/>
      <c r="F303" s="424"/>
      <c r="G303" s="424"/>
    </row>
    <row r="304" spans="1:7">
      <c r="A304" s="434"/>
      <c r="B304" s="434" t="s">
        <v>928</v>
      </c>
      <c r="C304" s="434" t="s">
        <v>78</v>
      </c>
      <c r="D304" s="434" t="s">
        <v>858</v>
      </c>
      <c r="E304" s="434"/>
      <c r="F304" s="434" t="s">
        <v>567</v>
      </c>
      <c r="G304" s="434" t="s">
        <v>859</v>
      </c>
    </row>
    <row r="305" spans="1:7">
      <c r="A305" s="405" t="s">
        <v>929</v>
      </c>
      <c r="B305" s="428" t="s">
        <v>930</v>
      </c>
      <c r="C305" s="405"/>
      <c r="D305" s="405"/>
      <c r="E305" s="424"/>
      <c r="F305" s="447" t="s">
        <v>149</v>
      </c>
      <c r="G305" s="447" t="s">
        <v>149</v>
      </c>
    </row>
    <row r="306" spans="1:7">
      <c r="A306" s="405" t="s">
        <v>931</v>
      </c>
      <c r="B306" s="505" t="s">
        <v>932</v>
      </c>
      <c r="C306" s="405"/>
      <c r="D306" s="405"/>
      <c r="E306" s="424"/>
      <c r="F306" s="447" t="s">
        <v>149</v>
      </c>
      <c r="G306" s="447" t="s">
        <v>149</v>
      </c>
    </row>
    <row r="307" spans="1:7">
      <c r="A307" s="405" t="s">
        <v>933</v>
      </c>
      <c r="B307" s="428" t="s">
        <v>934</v>
      </c>
      <c r="C307" s="405"/>
      <c r="D307" s="405"/>
      <c r="E307" s="424"/>
      <c r="F307" s="447" t="s">
        <v>149</v>
      </c>
      <c r="G307" s="447" t="s">
        <v>149</v>
      </c>
    </row>
    <row r="308" spans="1:7">
      <c r="A308" s="405" t="s">
        <v>935</v>
      </c>
      <c r="B308" s="428" t="s">
        <v>936</v>
      </c>
      <c r="C308" s="405"/>
      <c r="D308" s="405"/>
      <c r="E308" s="424"/>
      <c r="F308" s="447" t="s">
        <v>149</v>
      </c>
      <c r="G308" s="447" t="s">
        <v>149</v>
      </c>
    </row>
    <row r="309" spans="1:7">
      <c r="A309" s="405" t="s">
        <v>937</v>
      </c>
      <c r="B309" s="428" t="s">
        <v>938</v>
      </c>
      <c r="C309" s="405"/>
      <c r="D309" s="405"/>
      <c r="E309" s="424"/>
      <c r="F309" s="447" t="s">
        <v>149</v>
      </c>
      <c r="G309" s="447" t="s">
        <v>149</v>
      </c>
    </row>
    <row r="310" spans="1:7">
      <c r="A310" s="405" t="s">
        <v>939</v>
      </c>
      <c r="B310" s="428" t="s">
        <v>940</v>
      </c>
      <c r="C310" s="405"/>
      <c r="D310" s="405"/>
      <c r="E310" s="424"/>
      <c r="F310" s="447" t="s">
        <v>149</v>
      </c>
      <c r="G310" s="447" t="s">
        <v>149</v>
      </c>
    </row>
    <row r="311" spans="1:7">
      <c r="A311" s="405" t="s">
        <v>941</v>
      </c>
      <c r="B311" s="428" t="s">
        <v>942</v>
      </c>
      <c r="C311" s="405"/>
      <c r="D311" s="405"/>
      <c r="E311" s="424"/>
      <c r="F311" s="447" t="s">
        <v>149</v>
      </c>
      <c r="G311" s="447" t="s">
        <v>149</v>
      </c>
    </row>
    <row r="312" spans="1:7">
      <c r="A312" s="405" t="s">
        <v>943</v>
      </c>
      <c r="B312" s="428" t="s">
        <v>118</v>
      </c>
      <c r="C312" s="405">
        <v>0</v>
      </c>
      <c r="D312" s="405">
        <v>0</v>
      </c>
      <c r="E312" s="424"/>
      <c r="F312" s="483">
        <v>0</v>
      </c>
      <c r="G312" s="483">
        <v>0</v>
      </c>
    </row>
    <row r="313" spans="1:7">
      <c r="A313" s="412" t="s">
        <v>944</v>
      </c>
      <c r="B313" s="429"/>
      <c r="E313" s="415"/>
      <c r="F313" s="415"/>
      <c r="G313" s="415"/>
    </row>
    <row r="314" spans="1:7">
      <c r="A314" s="434"/>
      <c r="B314" s="434" t="s">
        <v>945</v>
      </c>
      <c r="C314" s="434" t="s">
        <v>78</v>
      </c>
      <c r="D314" s="434" t="s">
        <v>858</v>
      </c>
      <c r="E314" s="434"/>
      <c r="F314" s="434" t="s">
        <v>567</v>
      </c>
      <c r="G314" s="434" t="s">
        <v>859</v>
      </c>
    </row>
    <row r="315" spans="1:7">
      <c r="A315" s="405" t="s">
        <v>946</v>
      </c>
      <c r="B315" s="428" t="s">
        <v>947</v>
      </c>
      <c r="C315" s="405"/>
      <c r="D315" s="405"/>
      <c r="E315" s="424"/>
      <c r="F315" s="447" t="s">
        <v>149</v>
      </c>
      <c r="G315" s="447" t="s">
        <v>149</v>
      </c>
    </row>
    <row r="316" spans="1:7">
      <c r="A316" s="405" t="s">
        <v>948</v>
      </c>
      <c r="B316" s="505" t="s">
        <v>949</v>
      </c>
      <c r="C316" s="405"/>
      <c r="D316" s="405"/>
      <c r="E316" s="424"/>
      <c r="F316" s="447" t="s">
        <v>149</v>
      </c>
      <c r="G316" s="447" t="s">
        <v>149</v>
      </c>
    </row>
    <row r="317" spans="1:7">
      <c r="A317" s="405" t="s">
        <v>950</v>
      </c>
      <c r="B317" s="428" t="s">
        <v>942</v>
      </c>
      <c r="C317" s="405"/>
      <c r="D317" s="405"/>
      <c r="E317" s="424"/>
      <c r="F317" s="447" t="s">
        <v>149</v>
      </c>
      <c r="G317" s="447" t="s">
        <v>149</v>
      </c>
    </row>
    <row r="318" spans="1:7">
      <c r="A318" s="405" t="s">
        <v>951</v>
      </c>
      <c r="B318" s="405" t="s">
        <v>878</v>
      </c>
      <c r="C318" s="405"/>
      <c r="D318" s="405"/>
      <c r="E318" s="424"/>
      <c r="F318" s="447" t="s">
        <v>149</v>
      </c>
      <c r="G318" s="447" t="s">
        <v>149</v>
      </c>
    </row>
    <row r="319" spans="1:7">
      <c r="A319" s="405" t="s">
        <v>952</v>
      </c>
      <c r="B319" s="428" t="s">
        <v>118</v>
      </c>
      <c r="C319" s="405">
        <v>0</v>
      </c>
      <c r="D319" s="405">
        <v>0</v>
      </c>
      <c r="E319" s="424"/>
      <c r="F319" s="483">
        <v>0</v>
      </c>
      <c r="G319" s="483">
        <v>0</v>
      </c>
    </row>
    <row r="320" spans="1:7">
      <c r="A320" s="405" t="s">
        <v>946</v>
      </c>
      <c r="B320" s="428"/>
      <c r="C320" s="405"/>
      <c r="D320" s="405"/>
      <c r="E320" s="424"/>
      <c r="F320" s="424"/>
      <c r="G320" s="424"/>
    </row>
    <row r="321" spans="1:6">
      <c r="A321" s="412" t="s">
        <v>948</v>
      </c>
      <c r="C321" s="506"/>
      <c r="E321" s="405"/>
      <c r="F321" s="405"/>
    </row>
    <row r="322" spans="1:6">
      <c r="A322" s="412" t="s">
        <v>950</v>
      </c>
      <c r="C322" s="506"/>
      <c r="E322" s="405"/>
      <c r="F322" s="405"/>
    </row>
    <row r="323" spans="1:6">
      <c r="A323" s="412" t="s">
        <v>951</v>
      </c>
      <c r="C323" s="506"/>
      <c r="E323" s="405"/>
      <c r="F323" s="405"/>
    </row>
    <row r="324" spans="1:6">
      <c r="A324" s="412" t="s">
        <v>952</v>
      </c>
      <c r="C324" s="506"/>
      <c r="E324" s="405"/>
      <c r="F324" s="405"/>
    </row>
    <row r="325" spans="1:6">
      <c r="A325" s="412" t="s">
        <v>953</v>
      </c>
      <c r="C325" s="506"/>
      <c r="E325" s="405"/>
      <c r="F325" s="405"/>
    </row>
    <row r="326" spans="1:6">
      <c r="A326" s="412" t="s">
        <v>954</v>
      </c>
      <c r="C326" s="506"/>
      <c r="E326" s="405"/>
      <c r="F326" s="405"/>
    </row>
    <row r="327" spans="1:6">
      <c r="A327" s="412" t="s">
        <v>955</v>
      </c>
      <c r="C327" s="506"/>
      <c r="E327" s="405"/>
      <c r="F327" s="405"/>
    </row>
    <row r="328" spans="1:6">
      <c r="A328" s="412" t="s">
        <v>956</v>
      </c>
      <c r="C328" s="506"/>
      <c r="E328" s="405"/>
      <c r="F328" s="405"/>
    </row>
    <row r="329" spans="1:6">
      <c r="A329" s="412" t="s">
        <v>957</v>
      </c>
      <c r="C329" s="506"/>
      <c r="E329" s="405"/>
      <c r="F329" s="405"/>
    </row>
    <row r="330" spans="1:6">
      <c r="A330" s="412" t="s">
        <v>958</v>
      </c>
      <c r="C330" s="506"/>
      <c r="E330" s="405"/>
      <c r="F330" s="405"/>
    </row>
    <row r="331" spans="1:6">
      <c r="A331" s="412" t="s">
        <v>959</v>
      </c>
      <c r="C331" s="506"/>
      <c r="E331" s="405"/>
      <c r="F331" s="405"/>
    </row>
    <row r="332" spans="1:6">
      <c r="A332" s="412" t="s">
        <v>960</v>
      </c>
      <c r="C332" s="506"/>
      <c r="E332" s="405"/>
      <c r="F332" s="405"/>
    </row>
    <row r="333" spans="1:6">
      <c r="A333" s="412" t="s">
        <v>961</v>
      </c>
      <c r="C333" s="506"/>
      <c r="E333" s="405"/>
      <c r="F333" s="405"/>
    </row>
    <row r="334" spans="1:6">
      <c r="A334" s="412" t="s">
        <v>962</v>
      </c>
      <c r="C334" s="506"/>
      <c r="E334" s="405"/>
      <c r="F334" s="405"/>
    </row>
    <row r="335" spans="1:6">
      <c r="A335" s="412" t="s">
        <v>963</v>
      </c>
      <c r="C335" s="506"/>
      <c r="E335" s="405"/>
      <c r="F335" s="405"/>
    </row>
    <row r="336" spans="1:6">
      <c r="A336" s="412" t="s">
        <v>964</v>
      </c>
      <c r="C336" s="506"/>
      <c r="E336" s="405"/>
      <c r="F336" s="405"/>
    </row>
    <row r="337" spans="1:6">
      <c r="A337" s="412" t="s">
        <v>965</v>
      </c>
      <c r="C337" s="506"/>
      <c r="E337" s="405"/>
      <c r="F337" s="405"/>
    </row>
    <row r="338" spans="1:6">
      <c r="A338" s="412" t="s">
        <v>966</v>
      </c>
      <c r="C338" s="506"/>
      <c r="E338" s="405"/>
      <c r="F338" s="405"/>
    </row>
    <row r="339" spans="1:6">
      <c r="A339" s="412" t="s">
        <v>967</v>
      </c>
      <c r="C339" s="506"/>
      <c r="E339" s="405"/>
      <c r="F339" s="405"/>
    </row>
    <row r="340" spans="1:6">
      <c r="A340" s="412" t="s">
        <v>968</v>
      </c>
      <c r="C340" s="506"/>
      <c r="E340" s="405"/>
      <c r="F340" s="405"/>
    </row>
    <row r="341" spans="1:6">
      <c r="A341" s="412" t="s">
        <v>969</v>
      </c>
      <c r="C341" s="506"/>
      <c r="E341" s="405"/>
      <c r="F341" s="405"/>
    </row>
    <row r="342" spans="1:6">
      <c r="A342" s="412" t="s">
        <v>970</v>
      </c>
      <c r="C342" s="506"/>
      <c r="E342" s="405"/>
      <c r="F342" s="405"/>
    </row>
    <row r="343" spans="1:6">
      <c r="A343" s="412" t="s">
        <v>971</v>
      </c>
      <c r="C343" s="506"/>
      <c r="E343" s="405"/>
      <c r="F343" s="405"/>
    </row>
    <row r="344" spans="1:6">
      <c r="A344" s="412" t="s">
        <v>972</v>
      </c>
      <c r="C344" s="506"/>
      <c r="E344" s="405"/>
      <c r="F344" s="405"/>
    </row>
    <row r="345" spans="1:6">
      <c r="A345" s="412" t="s">
        <v>973</v>
      </c>
      <c r="C345" s="506"/>
      <c r="E345" s="405"/>
      <c r="F345" s="405"/>
    </row>
    <row r="346" spans="1:6">
      <c r="A346" s="412" t="s">
        <v>974</v>
      </c>
      <c r="C346" s="506"/>
      <c r="E346" s="405"/>
      <c r="F346" s="405"/>
    </row>
    <row r="347" spans="1:6">
      <c r="A347" s="412" t="s">
        <v>975</v>
      </c>
      <c r="C347" s="506"/>
      <c r="E347" s="405"/>
      <c r="F347" s="405"/>
    </row>
    <row r="348" spans="1:6">
      <c r="A348" s="412" t="s">
        <v>976</v>
      </c>
      <c r="C348" s="506"/>
      <c r="E348" s="405"/>
      <c r="F348" s="405"/>
    </row>
    <row r="349" spans="1:6">
      <c r="A349" s="412" t="s">
        <v>977</v>
      </c>
      <c r="C349" s="506"/>
      <c r="E349" s="405"/>
      <c r="F349" s="405"/>
    </row>
    <row r="350" spans="1:6">
      <c r="A350" s="412" t="s">
        <v>978</v>
      </c>
      <c r="C350" s="506"/>
      <c r="E350" s="405"/>
      <c r="F350" s="405"/>
    </row>
    <row r="351" spans="1:6">
      <c r="A351" s="412" t="s">
        <v>979</v>
      </c>
      <c r="C351" s="506"/>
      <c r="E351" s="405"/>
      <c r="F351" s="405"/>
    </row>
    <row r="352" spans="1:6">
      <c r="A352" s="412" t="s">
        <v>980</v>
      </c>
      <c r="C352" s="506"/>
      <c r="E352" s="405"/>
      <c r="F352" s="405"/>
    </row>
    <row r="353" spans="1:6">
      <c r="A353" s="412" t="s">
        <v>981</v>
      </c>
      <c r="C353" s="506"/>
      <c r="E353" s="405"/>
      <c r="F353" s="405"/>
    </row>
    <row r="354" spans="1:6">
      <c r="A354" s="412" t="s">
        <v>982</v>
      </c>
      <c r="C354" s="506"/>
      <c r="E354" s="405"/>
      <c r="F354" s="405"/>
    </row>
    <row r="355" spans="1:6">
      <c r="A355" s="412" t="s">
        <v>983</v>
      </c>
      <c r="C355" s="506"/>
      <c r="E355" s="405"/>
      <c r="F355" s="405"/>
    </row>
    <row r="356" spans="1:6">
      <c r="A356" s="412" t="s">
        <v>984</v>
      </c>
      <c r="C356" s="506"/>
      <c r="E356" s="405"/>
      <c r="F356" s="405"/>
    </row>
    <row r="357" spans="1:6">
      <c r="A357" s="412" t="s">
        <v>985</v>
      </c>
      <c r="C357" s="506"/>
      <c r="E357" s="405"/>
      <c r="F357" s="405"/>
    </row>
    <row r="358" spans="1:6">
      <c r="A358" s="412" t="s">
        <v>986</v>
      </c>
      <c r="C358" s="506"/>
      <c r="E358" s="405"/>
      <c r="F358" s="405"/>
    </row>
    <row r="359" spans="1:6">
      <c r="A359" s="412" t="s">
        <v>987</v>
      </c>
      <c r="C359" s="506"/>
      <c r="E359" s="405"/>
      <c r="F359" s="405"/>
    </row>
    <row r="360" spans="1:6">
      <c r="A360" s="412" t="s">
        <v>988</v>
      </c>
      <c r="C360" s="506"/>
      <c r="E360" s="405"/>
      <c r="F360" s="405"/>
    </row>
    <row r="361" spans="1:6">
      <c r="A361" s="412" t="s">
        <v>989</v>
      </c>
      <c r="C361" s="506"/>
      <c r="E361" s="405"/>
      <c r="F361" s="405"/>
    </row>
    <row r="362" spans="1:6">
      <c r="A362" s="412" t="s">
        <v>990</v>
      </c>
      <c r="C362" s="506"/>
      <c r="E362" s="405"/>
      <c r="F362" s="405"/>
    </row>
    <row r="363" spans="1:6">
      <c r="A363" s="412" t="s">
        <v>991</v>
      </c>
      <c r="C363" s="506"/>
      <c r="E363" s="405"/>
      <c r="F363" s="405"/>
    </row>
    <row r="364" spans="1:6">
      <c r="A364" s="412" t="s">
        <v>992</v>
      </c>
      <c r="C364" s="506"/>
      <c r="E364" s="405"/>
      <c r="F364" s="405"/>
    </row>
    <row r="365" spans="1:6">
      <c r="A365" s="412" t="s">
        <v>993</v>
      </c>
      <c r="C365" s="506"/>
      <c r="E365" s="405"/>
      <c r="F365" s="405"/>
    </row>
    <row r="366" spans="1:6">
      <c r="A366" s="412" t="s">
        <v>994</v>
      </c>
      <c r="C366" s="506"/>
      <c r="E366" s="405"/>
      <c r="F366" s="405"/>
    </row>
    <row r="367" spans="1:6">
      <c r="A367" s="412" t="s">
        <v>995</v>
      </c>
      <c r="C367" s="506"/>
      <c r="E367" s="405"/>
      <c r="F367" s="405"/>
    </row>
    <row r="368" spans="1:6">
      <c r="A368" s="412" t="s">
        <v>996</v>
      </c>
      <c r="C368" s="506"/>
      <c r="E368" s="405"/>
      <c r="F368" s="405"/>
    </row>
    <row r="369" spans="1:7">
      <c r="A369" s="412" t="s">
        <v>997</v>
      </c>
      <c r="C369" s="506"/>
      <c r="E369" s="405"/>
      <c r="F369" s="405"/>
    </row>
    <row r="370" spans="1:7" ht="18.75">
      <c r="A370" s="493"/>
      <c r="B370" s="494" t="s">
        <v>998</v>
      </c>
      <c r="C370" s="493"/>
      <c r="D370" s="493"/>
      <c r="E370" s="493"/>
      <c r="F370" s="495"/>
      <c r="G370" s="495"/>
    </row>
    <row r="371" spans="1:7">
      <c r="A371" s="433"/>
      <c r="B371" s="433" t="s">
        <v>999</v>
      </c>
      <c r="C371" s="433" t="s">
        <v>726</v>
      </c>
      <c r="D371" s="433" t="s">
        <v>727</v>
      </c>
      <c r="E371" s="433"/>
      <c r="F371" s="433" t="s">
        <v>568</v>
      </c>
      <c r="G371" s="433" t="s">
        <v>728</v>
      </c>
    </row>
    <row r="372" spans="1:7">
      <c r="A372" s="405" t="s">
        <v>1000</v>
      </c>
      <c r="B372" s="405" t="s">
        <v>730</v>
      </c>
      <c r="C372" s="519">
        <v>444.17121681222727</v>
      </c>
      <c r="D372" s="520"/>
      <c r="E372" s="521"/>
      <c r="F372" s="521"/>
      <c r="G372" s="521"/>
    </row>
    <row r="373" spans="1:7">
      <c r="A373" s="423"/>
      <c r="B373" s="405"/>
      <c r="C373" s="514"/>
      <c r="D373" s="521"/>
      <c r="E373" s="521"/>
      <c r="F373" s="521"/>
      <c r="G373" s="521"/>
    </row>
    <row r="374" spans="1:7">
      <c r="A374" s="405"/>
      <c r="B374" s="405" t="s">
        <v>28</v>
      </c>
      <c r="C374" s="514"/>
      <c r="D374" s="521"/>
      <c r="E374" s="521"/>
      <c r="F374" s="521"/>
      <c r="G374" s="521"/>
    </row>
    <row r="375" spans="1:7">
      <c r="A375" s="405" t="s">
        <v>1001</v>
      </c>
      <c r="B375" s="428" t="s">
        <v>732</v>
      </c>
      <c r="C375" s="519">
        <v>10.461952959999994</v>
      </c>
      <c r="D375" s="516">
        <v>230</v>
      </c>
      <c r="E375" s="521"/>
      <c r="F375" s="517">
        <v>3.4285115270550365E-2</v>
      </c>
      <c r="G375" s="517">
        <v>0.33478893740902477</v>
      </c>
    </row>
    <row r="376" spans="1:7">
      <c r="A376" s="405" t="s">
        <v>1002</v>
      </c>
      <c r="B376" s="428" t="s">
        <v>734</v>
      </c>
      <c r="C376" s="519">
        <v>46.861757820000001</v>
      </c>
      <c r="D376" s="516">
        <v>266</v>
      </c>
      <c r="E376" s="521"/>
      <c r="F376" s="517">
        <v>0.15357178289581175</v>
      </c>
      <c r="G376" s="517">
        <v>0.38719068413391555</v>
      </c>
    </row>
    <row r="377" spans="1:7">
      <c r="A377" s="405" t="s">
        <v>1003</v>
      </c>
      <c r="B377" s="428" t="s">
        <v>736</v>
      </c>
      <c r="C377" s="519">
        <v>27.244432500000002</v>
      </c>
      <c r="D377" s="516">
        <v>73</v>
      </c>
      <c r="E377" s="521"/>
      <c r="F377" s="517">
        <v>8.9283378764420371E-2</v>
      </c>
      <c r="G377" s="517">
        <v>0.10625909752547306</v>
      </c>
    </row>
    <row r="378" spans="1:7">
      <c r="A378" s="405" t="s">
        <v>1004</v>
      </c>
      <c r="B378" s="428" t="s">
        <v>738</v>
      </c>
      <c r="C378" s="519">
        <v>51.924095370000011</v>
      </c>
      <c r="D378" s="516">
        <v>74</v>
      </c>
      <c r="E378" s="521"/>
      <c r="F378" s="517">
        <v>0.17016168987625624</v>
      </c>
      <c r="G378" s="517">
        <v>0.10771470160116449</v>
      </c>
    </row>
    <row r="379" spans="1:7">
      <c r="A379" s="405" t="s">
        <v>1005</v>
      </c>
      <c r="B379" s="428" t="s">
        <v>740</v>
      </c>
      <c r="C379" s="519">
        <v>75.141722760000007</v>
      </c>
      <c r="D379" s="516">
        <v>39</v>
      </c>
      <c r="E379" s="521"/>
      <c r="F379" s="517">
        <v>0.24624872968787831</v>
      </c>
      <c r="G379" s="517">
        <v>5.6768558951965066E-2</v>
      </c>
    </row>
    <row r="380" spans="1:7">
      <c r="A380" s="405" t="s">
        <v>1006</v>
      </c>
      <c r="B380" s="428" t="s">
        <v>742</v>
      </c>
      <c r="C380" s="519">
        <v>93.511664539999998</v>
      </c>
      <c r="D380" s="516">
        <v>5</v>
      </c>
      <c r="E380" s="521"/>
      <c r="F380" s="517">
        <v>0.30644930350508259</v>
      </c>
      <c r="G380" s="517">
        <v>7.2780203784570596E-3</v>
      </c>
    </row>
    <row r="381" spans="1:7">
      <c r="A381" s="405" t="s">
        <v>1007</v>
      </c>
      <c r="B381" s="428" t="s">
        <v>744</v>
      </c>
      <c r="C381" s="439" t="s">
        <v>1008</v>
      </c>
      <c r="D381" s="502" t="s">
        <v>1008</v>
      </c>
      <c r="E381" s="423"/>
      <c r="F381" s="447" t="s">
        <v>149</v>
      </c>
      <c r="G381" s="447" t="s">
        <v>149</v>
      </c>
    </row>
    <row r="382" spans="1:7">
      <c r="A382" s="405" t="s">
        <v>1009</v>
      </c>
      <c r="B382" s="428" t="s">
        <v>744</v>
      </c>
      <c r="C382" s="439" t="s">
        <v>1008</v>
      </c>
      <c r="D382" s="502" t="s">
        <v>1008</v>
      </c>
      <c r="E382" s="423"/>
      <c r="F382" s="447" t="s">
        <v>149</v>
      </c>
      <c r="G382" s="447" t="s">
        <v>149</v>
      </c>
    </row>
    <row r="383" spans="1:7">
      <c r="A383" s="405" t="s">
        <v>1010</v>
      </c>
      <c r="B383" s="428" t="s">
        <v>744</v>
      </c>
      <c r="C383" s="439" t="s">
        <v>1008</v>
      </c>
      <c r="D383" s="502" t="s">
        <v>1008</v>
      </c>
      <c r="E383" s="423"/>
      <c r="F383" s="447" t="s">
        <v>149</v>
      </c>
      <c r="G383" s="447" t="s">
        <v>149</v>
      </c>
    </row>
    <row r="384" spans="1:7">
      <c r="A384" s="405" t="s">
        <v>1011</v>
      </c>
      <c r="B384" s="428" t="s">
        <v>744</v>
      </c>
      <c r="C384" s="439" t="s">
        <v>1008</v>
      </c>
      <c r="D384" s="502" t="s">
        <v>1008</v>
      </c>
      <c r="E384" s="428"/>
      <c r="F384" s="447" t="s">
        <v>149</v>
      </c>
      <c r="G384" s="447" t="s">
        <v>149</v>
      </c>
    </row>
    <row r="385" spans="1:7">
      <c r="A385" s="405" t="s">
        <v>1012</v>
      </c>
      <c r="B385" s="428" t="s">
        <v>744</v>
      </c>
      <c r="C385" s="439" t="s">
        <v>1008</v>
      </c>
      <c r="D385" s="502" t="s">
        <v>1008</v>
      </c>
      <c r="E385" s="428"/>
      <c r="F385" s="447" t="s">
        <v>149</v>
      </c>
      <c r="G385" s="447" t="s">
        <v>149</v>
      </c>
    </row>
    <row r="386" spans="1:7">
      <c r="A386" s="405" t="s">
        <v>1013</v>
      </c>
      <c r="B386" s="428" t="s">
        <v>744</v>
      </c>
      <c r="C386" s="439" t="s">
        <v>1008</v>
      </c>
      <c r="D386" s="502" t="s">
        <v>1008</v>
      </c>
      <c r="E386" s="428"/>
      <c r="F386" s="447" t="s">
        <v>149</v>
      </c>
      <c r="G386" s="447" t="s">
        <v>149</v>
      </c>
    </row>
    <row r="387" spans="1:7">
      <c r="A387" s="405" t="s">
        <v>1014</v>
      </c>
      <c r="B387" s="428" t="s">
        <v>744</v>
      </c>
      <c r="C387" s="439" t="s">
        <v>1008</v>
      </c>
      <c r="D387" s="502" t="s">
        <v>1008</v>
      </c>
      <c r="E387" s="428"/>
      <c r="F387" s="447" t="s">
        <v>149</v>
      </c>
      <c r="G387" s="447" t="s">
        <v>149</v>
      </c>
    </row>
    <row r="388" spans="1:7">
      <c r="A388" s="405" t="s">
        <v>1015</v>
      </c>
      <c r="B388" s="428" t="s">
        <v>744</v>
      </c>
      <c r="C388" s="439" t="s">
        <v>1008</v>
      </c>
      <c r="D388" s="502" t="s">
        <v>1008</v>
      </c>
      <c r="E388" s="428"/>
      <c r="F388" s="447" t="s">
        <v>149</v>
      </c>
      <c r="G388" s="447" t="s">
        <v>149</v>
      </c>
    </row>
    <row r="389" spans="1:7">
      <c r="A389" s="405" t="s">
        <v>1016</v>
      </c>
      <c r="B389" s="428" t="s">
        <v>744</v>
      </c>
      <c r="C389" s="439" t="s">
        <v>1008</v>
      </c>
      <c r="D389" s="502" t="s">
        <v>1008</v>
      </c>
      <c r="E389" s="428"/>
      <c r="F389" s="447" t="s">
        <v>149</v>
      </c>
      <c r="G389" s="447" t="s">
        <v>149</v>
      </c>
    </row>
    <row r="390" spans="1:7">
      <c r="A390" s="405" t="s">
        <v>1017</v>
      </c>
      <c r="B390" s="428" t="s">
        <v>744</v>
      </c>
      <c r="C390" s="439" t="s">
        <v>1008</v>
      </c>
      <c r="D390" s="502" t="s">
        <v>1008</v>
      </c>
      <c r="E390" s="405"/>
      <c r="F390" s="447" t="s">
        <v>149</v>
      </c>
      <c r="G390" s="447" t="s">
        <v>149</v>
      </c>
    </row>
    <row r="391" spans="1:7">
      <c r="A391" s="405" t="s">
        <v>1018</v>
      </c>
      <c r="B391" s="428" t="s">
        <v>744</v>
      </c>
      <c r="C391" s="439" t="s">
        <v>1008</v>
      </c>
      <c r="D391" s="502" t="s">
        <v>1008</v>
      </c>
      <c r="E391" s="500"/>
      <c r="F391" s="447" t="s">
        <v>149</v>
      </c>
      <c r="G391" s="447" t="s">
        <v>149</v>
      </c>
    </row>
    <row r="392" spans="1:7">
      <c r="A392" s="405" t="s">
        <v>1019</v>
      </c>
      <c r="B392" s="428" t="s">
        <v>744</v>
      </c>
      <c r="C392" s="439" t="s">
        <v>1008</v>
      </c>
      <c r="D392" s="502" t="s">
        <v>1008</v>
      </c>
      <c r="E392" s="500"/>
      <c r="F392" s="447" t="s">
        <v>149</v>
      </c>
      <c r="G392" s="447" t="s">
        <v>149</v>
      </c>
    </row>
    <row r="393" spans="1:7">
      <c r="A393" s="405" t="s">
        <v>1020</v>
      </c>
      <c r="B393" s="428" t="s">
        <v>744</v>
      </c>
      <c r="C393" s="439" t="s">
        <v>1008</v>
      </c>
      <c r="D393" s="502" t="s">
        <v>1008</v>
      </c>
      <c r="E393" s="500"/>
      <c r="F393" s="447" t="s">
        <v>149</v>
      </c>
      <c r="G393" s="447" t="s">
        <v>149</v>
      </c>
    </row>
    <row r="394" spans="1:7">
      <c r="A394" s="405" t="s">
        <v>1021</v>
      </c>
      <c r="B394" s="428" t="s">
        <v>744</v>
      </c>
      <c r="C394" s="439" t="s">
        <v>1008</v>
      </c>
      <c r="D394" s="502" t="s">
        <v>1008</v>
      </c>
      <c r="E394" s="500"/>
      <c r="F394" s="447" t="s">
        <v>149</v>
      </c>
      <c r="G394" s="447" t="s">
        <v>149</v>
      </c>
    </row>
    <row r="395" spans="1:7">
      <c r="A395" s="405" t="s">
        <v>1022</v>
      </c>
      <c r="B395" s="428" t="s">
        <v>744</v>
      </c>
      <c r="C395" s="439" t="s">
        <v>1008</v>
      </c>
      <c r="D395" s="502" t="s">
        <v>1008</v>
      </c>
      <c r="E395" s="500"/>
      <c r="F395" s="447" t="s">
        <v>149</v>
      </c>
      <c r="G395" s="447" t="s">
        <v>149</v>
      </c>
    </row>
    <row r="396" spans="1:7">
      <c r="A396" s="405" t="s">
        <v>1023</v>
      </c>
      <c r="B396" s="428" t="s">
        <v>744</v>
      </c>
      <c r="C396" s="439" t="s">
        <v>1008</v>
      </c>
      <c r="D396" s="502" t="s">
        <v>1008</v>
      </c>
      <c r="E396" s="500"/>
      <c r="F396" s="447" t="s">
        <v>149</v>
      </c>
      <c r="G396" s="447" t="s">
        <v>149</v>
      </c>
    </row>
    <row r="397" spans="1:7">
      <c r="A397" s="405" t="s">
        <v>1024</v>
      </c>
      <c r="B397" s="428" t="s">
        <v>744</v>
      </c>
      <c r="C397" s="439" t="s">
        <v>1008</v>
      </c>
      <c r="D397" s="502" t="s">
        <v>1008</v>
      </c>
      <c r="E397" s="500"/>
      <c r="F397" s="447" t="s">
        <v>149</v>
      </c>
      <c r="G397" s="447" t="s">
        <v>149</v>
      </c>
    </row>
    <row r="398" spans="1:7">
      <c r="A398" s="405" t="s">
        <v>1025</v>
      </c>
      <c r="B398" s="428" t="s">
        <v>744</v>
      </c>
      <c r="C398" s="439" t="s">
        <v>1008</v>
      </c>
      <c r="D398" s="502" t="s">
        <v>1008</v>
      </c>
      <c r="E398" s="500"/>
      <c r="F398" s="447" t="s">
        <v>149</v>
      </c>
      <c r="G398" s="447" t="s">
        <v>149</v>
      </c>
    </row>
    <row r="399" spans="1:7">
      <c r="A399" s="405" t="s">
        <v>1026</v>
      </c>
      <c r="B399" s="428" t="s">
        <v>118</v>
      </c>
      <c r="C399" s="440">
        <v>305.14562595000007</v>
      </c>
      <c r="D399" s="446">
        <v>687</v>
      </c>
      <c r="E399" s="500"/>
      <c r="F399" s="501">
        <v>0.99999999999999956</v>
      </c>
      <c r="G399" s="501">
        <v>1</v>
      </c>
    </row>
    <row r="400" spans="1:7">
      <c r="A400" s="436"/>
      <c r="B400" s="436" t="s">
        <v>1027</v>
      </c>
      <c r="C400" s="436" t="s">
        <v>726</v>
      </c>
      <c r="D400" s="436" t="s">
        <v>727</v>
      </c>
      <c r="E400" s="436"/>
      <c r="F400" s="436" t="s">
        <v>568</v>
      </c>
      <c r="G400" s="436" t="s">
        <v>728</v>
      </c>
    </row>
    <row r="401" spans="1:7">
      <c r="A401" s="405" t="s">
        <v>1028</v>
      </c>
      <c r="B401" s="405" t="s">
        <v>765</v>
      </c>
      <c r="C401" s="482">
        <v>0.45842975686474868</v>
      </c>
      <c r="D401" s="514"/>
      <c r="E401" s="405"/>
      <c r="F401" s="405"/>
    </row>
    <row r="402" spans="1:7">
      <c r="A402" s="405"/>
      <c r="B402" s="405"/>
      <c r="C402" s="514"/>
      <c r="D402" s="514"/>
      <c r="E402" s="405"/>
      <c r="F402" s="405"/>
    </row>
    <row r="403" spans="1:7">
      <c r="A403" s="405"/>
      <c r="B403" s="428" t="s">
        <v>766</v>
      </c>
      <c r="C403" s="514"/>
      <c r="D403" s="514"/>
      <c r="E403" s="514"/>
      <c r="F403" s="514"/>
      <c r="G403" s="514"/>
    </row>
    <row r="404" spans="1:7">
      <c r="A404" s="405" t="s">
        <v>1029</v>
      </c>
      <c r="B404" s="405" t="s">
        <v>768</v>
      </c>
      <c r="C404" s="515">
        <v>158323269.23000002</v>
      </c>
      <c r="D404" s="516">
        <v>416</v>
      </c>
      <c r="E404" s="514"/>
      <c r="F404" s="517">
        <v>0.51884495718100931</v>
      </c>
      <c r="G404" s="518">
        <v>0.60553129548762741</v>
      </c>
    </row>
    <row r="405" spans="1:7">
      <c r="A405" s="405" t="s">
        <v>1030</v>
      </c>
      <c r="B405" s="405" t="s">
        <v>770</v>
      </c>
      <c r="C405" s="515">
        <v>27950674.639999986</v>
      </c>
      <c r="D405" s="516">
        <v>90</v>
      </c>
      <c r="E405" s="514"/>
      <c r="F405" s="517">
        <v>9.1597821705561258E-2</v>
      </c>
      <c r="G405" s="518">
        <v>0.13100436681222707</v>
      </c>
    </row>
    <row r="406" spans="1:7">
      <c r="A406" s="405" t="s">
        <v>1031</v>
      </c>
      <c r="B406" s="405" t="s">
        <v>772</v>
      </c>
      <c r="C406" s="515">
        <v>46745205.480000004</v>
      </c>
      <c r="D406" s="516">
        <v>79</v>
      </c>
      <c r="E406" s="514"/>
      <c r="F406" s="517">
        <v>0.15318982644588031</v>
      </c>
      <c r="G406" s="518">
        <v>0.11499272197962154</v>
      </c>
    </row>
    <row r="407" spans="1:7">
      <c r="A407" s="405" t="s">
        <v>1032</v>
      </c>
      <c r="B407" s="405" t="s">
        <v>774</v>
      </c>
      <c r="C407" s="515">
        <v>23668833.450000003</v>
      </c>
      <c r="D407" s="516">
        <v>43</v>
      </c>
      <c r="E407" s="514"/>
      <c r="F407" s="517">
        <v>7.7565697939508682E-2</v>
      </c>
      <c r="G407" s="518">
        <v>6.2590975254730716E-2</v>
      </c>
    </row>
    <row r="408" spans="1:7">
      <c r="A408" s="405" t="s">
        <v>1033</v>
      </c>
      <c r="B408" s="405" t="s">
        <v>776</v>
      </c>
      <c r="C408" s="515">
        <v>7559862.7399999993</v>
      </c>
      <c r="D408" s="516">
        <v>25</v>
      </c>
      <c r="E408" s="514"/>
      <c r="F408" s="517">
        <v>2.4774606276803487E-2</v>
      </c>
      <c r="G408" s="518">
        <v>3.6390101892285295E-2</v>
      </c>
    </row>
    <row r="409" spans="1:7">
      <c r="A409" s="405" t="s">
        <v>1034</v>
      </c>
      <c r="B409" s="405" t="s">
        <v>778</v>
      </c>
      <c r="C409" s="515">
        <v>4346101.3499999996</v>
      </c>
      <c r="D409" s="516">
        <v>18</v>
      </c>
      <c r="E409" s="514"/>
      <c r="F409" s="517">
        <v>1.4242712267198402E-2</v>
      </c>
      <c r="G409" s="518">
        <v>2.6200873362445413E-2</v>
      </c>
    </row>
    <row r="410" spans="1:7">
      <c r="A410" s="405" t="s">
        <v>1035</v>
      </c>
      <c r="B410" s="405" t="s">
        <v>780</v>
      </c>
      <c r="C410" s="515">
        <v>34278907.229999997</v>
      </c>
      <c r="D410" s="516">
        <v>8</v>
      </c>
      <c r="E410" s="514"/>
      <c r="F410" s="517">
        <v>0.11233622347782501</v>
      </c>
      <c r="G410" s="518">
        <v>1.1644832605531296E-2</v>
      </c>
    </row>
    <row r="411" spans="1:7">
      <c r="A411" s="405" t="s">
        <v>1036</v>
      </c>
      <c r="B411" s="405" t="s">
        <v>782</v>
      </c>
      <c r="C411" s="515">
        <v>2272771.83</v>
      </c>
      <c r="D411" s="516">
        <v>8</v>
      </c>
      <c r="E411" s="514"/>
      <c r="F411" s="517">
        <v>7.4481547062136425E-3</v>
      </c>
      <c r="G411" s="518">
        <v>1.1644832605531296E-2</v>
      </c>
    </row>
    <row r="412" spans="1:7">
      <c r="A412" s="405" t="s">
        <v>1037</v>
      </c>
      <c r="B412" s="449" t="s">
        <v>118</v>
      </c>
      <c r="C412" s="437">
        <v>305145625.95000005</v>
      </c>
      <c r="D412" s="502">
        <v>687</v>
      </c>
      <c r="E412" s="514"/>
      <c r="F412" s="482">
        <v>1.0000000000000002</v>
      </c>
      <c r="G412" s="482">
        <v>0.99999999999999989</v>
      </c>
    </row>
    <row r="413" spans="1:7">
      <c r="A413" s="405" t="s">
        <v>1038</v>
      </c>
      <c r="B413" s="451" t="s">
        <v>785</v>
      </c>
      <c r="C413" s="439"/>
      <c r="D413" s="502"/>
      <c r="E413" s="405"/>
      <c r="F413" s="447"/>
      <c r="G413" s="447"/>
    </row>
    <row r="414" spans="1:7">
      <c r="A414" s="405" t="s">
        <v>1039</v>
      </c>
      <c r="B414" s="451" t="s">
        <v>787</v>
      </c>
      <c r="C414" s="439"/>
      <c r="D414" s="502"/>
      <c r="E414" s="405"/>
      <c r="F414" s="447"/>
      <c r="G414" s="447"/>
    </row>
    <row r="415" spans="1:7">
      <c r="A415" s="405" t="s">
        <v>1040</v>
      </c>
      <c r="B415" s="451" t="s">
        <v>789</v>
      </c>
      <c r="C415" s="439"/>
      <c r="D415" s="502"/>
      <c r="E415" s="405"/>
      <c r="F415" s="447"/>
      <c r="G415" s="447"/>
    </row>
    <row r="416" spans="1:7">
      <c r="A416" s="405" t="s">
        <v>1041</v>
      </c>
      <c r="B416" s="451" t="s">
        <v>791</v>
      </c>
      <c r="C416" s="439"/>
      <c r="D416" s="502"/>
      <c r="E416" s="405"/>
      <c r="F416" s="447"/>
      <c r="G416" s="447"/>
    </row>
    <row r="417" spans="1:7">
      <c r="A417" s="405" t="s">
        <v>1042</v>
      </c>
      <c r="B417" s="451" t="s">
        <v>793</v>
      </c>
      <c r="C417" s="439"/>
      <c r="D417" s="502"/>
      <c r="E417" s="405"/>
      <c r="F417" s="447"/>
      <c r="G417" s="447"/>
    </row>
    <row r="418" spans="1:7">
      <c r="A418" s="405" t="s">
        <v>1043</v>
      </c>
      <c r="B418" s="451" t="s">
        <v>795</v>
      </c>
      <c r="C418" s="439"/>
      <c r="D418" s="502"/>
      <c r="E418" s="405"/>
      <c r="F418" s="447"/>
      <c r="G418" s="447"/>
    </row>
    <row r="419" spans="1:7">
      <c r="A419" s="405" t="s">
        <v>1044</v>
      </c>
      <c r="B419" s="451"/>
      <c r="C419" s="405"/>
      <c r="D419" s="405"/>
      <c r="E419" s="405"/>
      <c r="F419" s="448"/>
      <c r="G419" s="448"/>
    </row>
    <row r="420" spans="1:7">
      <c r="A420" s="405" t="s">
        <v>1045</v>
      </c>
      <c r="B420" s="451"/>
      <c r="C420" s="405"/>
      <c r="D420" s="405"/>
      <c r="E420" s="405"/>
      <c r="F420" s="448"/>
      <c r="G420" s="448"/>
    </row>
    <row r="421" spans="1:7">
      <c r="A421" s="405" t="s">
        <v>1046</v>
      </c>
      <c r="B421" s="451"/>
      <c r="C421" s="405"/>
      <c r="D421" s="405"/>
      <c r="E421" s="405"/>
      <c r="F421" s="500"/>
      <c r="G421" s="500"/>
    </row>
    <row r="422" spans="1:7">
      <c r="A422" s="436"/>
      <c r="B422" s="436" t="s">
        <v>1047</v>
      </c>
      <c r="C422" s="436" t="s">
        <v>726</v>
      </c>
      <c r="D422" s="436" t="s">
        <v>727</v>
      </c>
      <c r="E422" s="436"/>
      <c r="F422" s="436" t="s">
        <v>568</v>
      </c>
      <c r="G422" s="436" t="s">
        <v>728</v>
      </c>
    </row>
    <row r="423" spans="1:7">
      <c r="A423" s="405" t="s">
        <v>1048</v>
      </c>
      <c r="B423" s="405" t="s">
        <v>765</v>
      </c>
      <c r="C423" s="482" t="s">
        <v>83</v>
      </c>
      <c r="D423" s="405"/>
      <c r="E423" s="405"/>
      <c r="F423" s="405"/>
    </row>
    <row r="424" spans="1:7">
      <c r="A424" s="405"/>
      <c r="B424" s="405"/>
      <c r="C424" s="405"/>
      <c r="D424" s="405"/>
      <c r="E424" s="405"/>
      <c r="F424" s="405"/>
    </row>
    <row r="425" spans="1:7">
      <c r="A425" s="405"/>
      <c r="B425" s="428" t="s">
        <v>766</v>
      </c>
      <c r="C425" s="405"/>
      <c r="D425" s="405"/>
      <c r="E425" s="405"/>
      <c r="F425" s="405"/>
    </row>
    <row r="426" spans="1:7">
      <c r="A426" s="405" t="s">
        <v>1049</v>
      </c>
      <c r="B426" s="405" t="s">
        <v>768</v>
      </c>
      <c r="C426" s="482" t="s">
        <v>83</v>
      </c>
      <c r="D426" s="482" t="s">
        <v>83</v>
      </c>
      <c r="E426" s="405"/>
      <c r="F426" s="447" t="s">
        <v>149</v>
      </c>
      <c r="G426" s="447" t="s">
        <v>149</v>
      </c>
    </row>
    <row r="427" spans="1:7">
      <c r="A427" s="405" t="s">
        <v>1050</v>
      </c>
      <c r="B427" s="405" t="s">
        <v>770</v>
      </c>
      <c r="C427" s="482" t="s">
        <v>83</v>
      </c>
      <c r="D427" s="482" t="s">
        <v>83</v>
      </c>
      <c r="E427" s="405"/>
      <c r="F427" s="447" t="s">
        <v>149</v>
      </c>
      <c r="G427" s="447" t="s">
        <v>149</v>
      </c>
    </row>
    <row r="428" spans="1:7">
      <c r="A428" s="405" t="s">
        <v>1051</v>
      </c>
      <c r="B428" s="405" t="s">
        <v>772</v>
      </c>
      <c r="C428" s="482" t="s">
        <v>83</v>
      </c>
      <c r="D428" s="482" t="s">
        <v>83</v>
      </c>
      <c r="E428" s="405"/>
      <c r="F428" s="447" t="s">
        <v>149</v>
      </c>
      <c r="G428" s="447" t="s">
        <v>149</v>
      </c>
    </row>
    <row r="429" spans="1:7">
      <c r="A429" s="405" t="s">
        <v>1052</v>
      </c>
      <c r="B429" s="405" t="s">
        <v>774</v>
      </c>
      <c r="C429" s="482" t="s">
        <v>83</v>
      </c>
      <c r="D429" s="482" t="s">
        <v>83</v>
      </c>
      <c r="E429" s="405"/>
      <c r="F429" s="447" t="s">
        <v>149</v>
      </c>
      <c r="G429" s="447" t="s">
        <v>149</v>
      </c>
    </row>
    <row r="430" spans="1:7">
      <c r="A430" s="405" t="s">
        <v>1053</v>
      </c>
      <c r="B430" s="405" t="s">
        <v>776</v>
      </c>
      <c r="C430" s="482" t="s">
        <v>83</v>
      </c>
      <c r="D430" s="482" t="s">
        <v>83</v>
      </c>
      <c r="E430" s="405"/>
      <c r="F430" s="447" t="s">
        <v>149</v>
      </c>
      <c r="G430" s="447" t="s">
        <v>149</v>
      </c>
    </row>
    <row r="431" spans="1:7">
      <c r="A431" s="405" t="s">
        <v>1054</v>
      </c>
      <c r="B431" s="405" t="s">
        <v>778</v>
      </c>
      <c r="C431" s="482" t="s">
        <v>83</v>
      </c>
      <c r="D431" s="482" t="s">
        <v>83</v>
      </c>
      <c r="E431" s="405"/>
      <c r="F431" s="447" t="s">
        <v>149</v>
      </c>
      <c r="G431" s="447" t="s">
        <v>149</v>
      </c>
    </row>
    <row r="432" spans="1:7">
      <c r="A432" s="405" t="s">
        <v>1055</v>
      </c>
      <c r="B432" s="405" t="s">
        <v>780</v>
      </c>
      <c r="C432" s="482" t="s">
        <v>83</v>
      </c>
      <c r="D432" s="482" t="s">
        <v>83</v>
      </c>
      <c r="E432" s="405"/>
      <c r="F432" s="447" t="s">
        <v>149</v>
      </c>
      <c r="G432" s="447" t="s">
        <v>149</v>
      </c>
    </row>
    <row r="433" spans="1:7">
      <c r="A433" s="405" t="s">
        <v>1056</v>
      </c>
      <c r="B433" s="405" t="s">
        <v>782</v>
      </c>
      <c r="C433" s="482" t="s">
        <v>83</v>
      </c>
      <c r="D433" s="482" t="s">
        <v>83</v>
      </c>
      <c r="E433" s="405"/>
      <c r="F433" s="447" t="s">
        <v>149</v>
      </c>
      <c r="G433" s="447" t="s">
        <v>149</v>
      </c>
    </row>
    <row r="434" spans="1:7">
      <c r="A434" s="405" t="s">
        <v>1057</v>
      </c>
      <c r="B434" s="449" t="s">
        <v>118</v>
      </c>
      <c r="C434" s="439">
        <v>0</v>
      </c>
      <c r="D434" s="502">
        <v>0</v>
      </c>
      <c r="E434" s="405"/>
      <c r="F434" s="482">
        <v>0</v>
      </c>
      <c r="G434" s="482">
        <v>0</v>
      </c>
    </row>
    <row r="435" spans="1:7">
      <c r="A435" s="405" t="s">
        <v>1058</v>
      </c>
      <c r="B435" s="451" t="s">
        <v>785</v>
      </c>
      <c r="C435" s="439"/>
      <c r="D435" s="502"/>
      <c r="E435" s="405"/>
      <c r="F435" s="447" t="s">
        <v>149</v>
      </c>
      <c r="G435" s="447" t="s">
        <v>149</v>
      </c>
    </row>
    <row r="436" spans="1:7">
      <c r="A436" s="405" t="s">
        <v>1059</v>
      </c>
      <c r="B436" s="451" t="s">
        <v>787</v>
      </c>
      <c r="C436" s="439"/>
      <c r="D436" s="502"/>
      <c r="E436" s="405"/>
      <c r="F436" s="447" t="s">
        <v>149</v>
      </c>
      <c r="G436" s="447" t="s">
        <v>149</v>
      </c>
    </row>
    <row r="437" spans="1:7">
      <c r="A437" s="405" t="s">
        <v>1060</v>
      </c>
      <c r="B437" s="451" t="s">
        <v>789</v>
      </c>
      <c r="C437" s="439"/>
      <c r="D437" s="502"/>
      <c r="E437" s="405"/>
      <c r="F437" s="447" t="s">
        <v>149</v>
      </c>
      <c r="G437" s="447" t="s">
        <v>149</v>
      </c>
    </row>
    <row r="438" spans="1:7">
      <c r="A438" s="405" t="s">
        <v>1061</v>
      </c>
      <c r="B438" s="451" t="s">
        <v>791</v>
      </c>
      <c r="C438" s="439"/>
      <c r="D438" s="502"/>
      <c r="E438" s="405"/>
      <c r="F438" s="447" t="s">
        <v>149</v>
      </c>
      <c r="G438" s="447" t="s">
        <v>149</v>
      </c>
    </row>
    <row r="439" spans="1:7">
      <c r="A439" s="405" t="s">
        <v>1062</v>
      </c>
      <c r="B439" s="451" t="s">
        <v>793</v>
      </c>
      <c r="C439" s="439"/>
      <c r="D439" s="502"/>
      <c r="E439" s="405"/>
      <c r="F439" s="447" t="s">
        <v>149</v>
      </c>
      <c r="G439" s="447" t="s">
        <v>149</v>
      </c>
    </row>
    <row r="440" spans="1:7">
      <c r="A440" s="405" t="s">
        <v>1063</v>
      </c>
      <c r="B440" s="451" t="s">
        <v>795</v>
      </c>
      <c r="C440" s="439"/>
      <c r="D440" s="502"/>
      <c r="E440" s="405"/>
      <c r="F440" s="447" t="s">
        <v>149</v>
      </c>
      <c r="G440" s="447" t="s">
        <v>149</v>
      </c>
    </row>
    <row r="441" spans="1:7">
      <c r="A441" s="405" t="s">
        <v>1064</v>
      </c>
      <c r="B441" s="451"/>
      <c r="C441" s="405"/>
      <c r="D441" s="405"/>
      <c r="E441" s="405"/>
      <c r="F441" s="447"/>
      <c r="G441" s="447"/>
    </row>
    <row r="442" spans="1:7">
      <c r="A442" s="405" t="s">
        <v>1065</v>
      </c>
      <c r="B442" s="451"/>
      <c r="C442" s="405"/>
      <c r="D442" s="405"/>
      <c r="E442" s="405"/>
      <c r="F442" s="447"/>
      <c r="G442" s="447"/>
    </row>
    <row r="443" spans="1:7">
      <c r="A443" s="405" t="s">
        <v>1066</v>
      </c>
      <c r="B443" s="451"/>
      <c r="C443" s="405"/>
      <c r="D443" s="405"/>
      <c r="E443" s="405"/>
      <c r="F443" s="447"/>
      <c r="G443" s="482"/>
    </row>
    <row r="444" spans="1:7">
      <c r="A444" s="436"/>
      <c r="B444" s="455" t="s">
        <v>1067</v>
      </c>
      <c r="C444" s="436" t="s">
        <v>1068</v>
      </c>
      <c r="D444" s="436"/>
      <c r="E444" s="436"/>
      <c r="F444" s="436"/>
      <c r="G444" s="436"/>
    </row>
    <row r="445" spans="1:7">
      <c r="A445" s="405" t="s">
        <v>1069</v>
      </c>
      <c r="B445" s="428" t="s">
        <v>1070</v>
      </c>
      <c r="C445" s="482">
        <v>0.10027998895522097</v>
      </c>
      <c r="D445" s="405"/>
      <c r="E445" s="405"/>
      <c r="F445" s="405"/>
    </row>
    <row r="446" spans="1:7">
      <c r="A446" s="405" t="s">
        <v>1071</v>
      </c>
      <c r="B446" s="428" t="s">
        <v>1072</v>
      </c>
      <c r="C446" s="482">
        <v>0.16352935105868588</v>
      </c>
      <c r="D446" s="405"/>
      <c r="E446" s="405"/>
      <c r="F446" s="405"/>
    </row>
    <row r="447" spans="1:7">
      <c r="A447" s="405" t="s">
        <v>1073</v>
      </c>
      <c r="B447" s="428" t="s">
        <v>1074</v>
      </c>
      <c r="C447" s="482">
        <v>1.0019554107916252E-2</v>
      </c>
      <c r="D447" s="405"/>
      <c r="E447" s="405"/>
      <c r="F447" s="405"/>
    </row>
    <row r="448" spans="1:7">
      <c r="A448" s="405" t="s">
        <v>1075</v>
      </c>
      <c r="B448" s="428" t="s">
        <v>1076</v>
      </c>
      <c r="C448" s="482">
        <v>0</v>
      </c>
      <c r="D448" s="405"/>
      <c r="E448" s="405"/>
      <c r="F448" s="405"/>
    </row>
    <row r="449" spans="1:6">
      <c r="A449" s="405" t="s">
        <v>1077</v>
      </c>
      <c r="B449" s="428" t="s">
        <v>1078</v>
      </c>
      <c r="C449" s="482">
        <v>0</v>
      </c>
      <c r="D449" s="405"/>
      <c r="E449" s="405"/>
      <c r="F449" s="405"/>
    </row>
    <row r="450" spans="1:6">
      <c r="A450" s="405" t="s">
        <v>1079</v>
      </c>
      <c r="B450" s="428" t="s">
        <v>1080</v>
      </c>
      <c r="C450" s="482">
        <v>0</v>
      </c>
      <c r="D450" s="405"/>
      <c r="E450" s="405"/>
      <c r="F450" s="405"/>
    </row>
    <row r="451" spans="1:6">
      <c r="A451" s="405" t="s">
        <v>1081</v>
      </c>
      <c r="B451" s="428" t="s">
        <v>1082</v>
      </c>
      <c r="C451" s="482">
        <v>0</v>
      </c>
      <c r="D451" s="405"/>
      <c r="E451" s="405"/>
      <c r="F451" s="405"/>
    </row>
    <row r="452" spans="1:6">
      <c r="A452" s="405" t="s">
        <v>1083</v>
      </c>
      <c r="B452" s="428" t="s">
        <v>1084</v>
      </c>
      <c r="C452" s="482">
        <v>0</v>
      </c>
      <c r="D452" s="405"/>
      <c r="E452" s="405"/>
      <c r="F452" s="405"/>
    </row>
    <row r="453" spans="1:6">
      <c r="A453" s="405" t="s">
        <v>1085</v>
      </c>
      <c r="B453" s="428" t="s">
        <v>1086</v>
      </c>
      <c r="C453" s="482">
        <v>0</v>
      </c>
      <c r="D453" s="405"/>
      <c r="E453" s="405"/>
      <c r="F453" s="405"/>
    </row>
    <row r="454" spans="1:6">
      <c r="A454" s="405" t="s">
        <v>1087</v>
      </c>
      <c r="B454" s="428" t="s">
        <v>1088</v>
      </c>
      <c r="C454" s="482">
        <v>0</v>
      </c>
      <c r="D454" s="405"/>
      <c r="E454" s="405"/>
      <c r="F454" s="405"/>
    </row>
    <row r="455" spans="1:6">
      <c r="A455" s="405" t="s">
        <v>1089</v>
      </c>
      <c r="B455" s="428" t="s">
        <v>1090</v>
      </c>
      <c r="C455" s="482">
        <v>4.1586269442640836E-2</v>
      </c>
      <c r="D455" s="405"/>
      <c r="E455" s="405"/>
      <c r="F455" s="405"/>
    </row>
    <row r="456" spans="1:6">
      <c r="A456" s="405" t="s">
        <v>1091</v>
      </c>
      <c r="B456" s="428" t="s">
        <v>1092</v>
      </c>
      <c r="C456" s="482">
        <v>0.44623738025434395</v>
      </c>
      <c r="D456" s="405"/>
      <c r="E456" s="405"/>
      <c r="F456" s="405"/>
    </row>
    <row r="457" spans="1:6">
      <c r="A457" s="405" t="s">
        <v>1093</v>
      </c>
      <c r="B457" s="428" t="s">
        <v>116</v>
      </c>
      <c r="C457" s="482">
        <v>0.2383474561811918</v>
      </c>
      <c r="D457" s="405"/>
      <c r="E457" s="405"/>
      <c r="F457" s="405"/>
    </row>
    <row r="458" spans="1:6">
      <c r="A458" s="405" t="s">
        <v>1094</v>
      </c>
      <c r="B458" s="451" t="s">
        <v>1095</v>
      </c>
      <c r="C458" s="482"/>
      <c r="D458" s="405"/>
      <c r="E458" s="405"/>
      <c r="F458" s="405"/>
    </row>
    <row r="459" spans="1:6">
      <c r="A459" s="405" t="s">
        <v>1096</v>
      </c>
      <c r="B459" s="451" t="s">
        <v>120</v>
      </c>
      <c r="C459" s="482"/>
      <c r="D459" s="405"/>
      <c r="E459" s="405"/>
      <c r="F459" s="405"/>
    </row>
    <row r="460" spans="1:6">
      <c r="A460" s="405" t="s">
        <v>1097</v>
      </c>
      <c r="B460" s="451" t="s">
        <v>120</v>
      </c>
      <c r="C460" s="482"/>
      <c r="D460" s="405"/>
      <c r="E460" s="405"/>
      <c r="F460" s="405"/>
    </row>
    <row r="461" spans="1:6">
      <c r="A461" s="405" t="s">
        <v>1098</v>
      </c>
      <c r="B461" s="451" t="s">
        <v>120</v>
      </c>
      <c r="C461" s="482"/>
      <c r="D461" s="405"/>
      <c r="E461" s="405"/>
      <c r="F461" s="405"/>
    </row>
    <row r="462" spans="1:6">
      <c r="A462" s="405" t="s">
        <v>1099</v>
      </c>
      <c r="B462" s="451" t="s">
        <v>120</v>
      </c>
      <c r="C462" s="482"/>
      <c r="D462" s="405"/>
      <c r="E462" s="405"/>
      <c r="F462" s="405"/>
    </row>
    <row r="463" spans="1:6">
      <c r="A463" s="405" t="s">
        <v>1100</v>
      </c>
      <c r="B463" s="451" t="s">
        <v>120</v>
      </c>
      <c r="C463" s="482"/>
      <c r="D463" s="405"/>
      <c r="E463" s="405"/>
      <c r="F463" s="405"/>
    </row>
    <row r="464" spans="1:6">
      <c r="A464" s="405" t="s">
        <v>1101</v>
      </c>
      <c r="B464" s="451" t="s">
        <v>120</v>
      </c>
      <c r="C464" s="482"/>
      <c r="D464" s="405"/>
      <c r="E464" s="405"/>
      <c r="F464" s="405"/>
    </row>
    <row r="465" spans="1:7">
      <c r="A465" s="405" t="s">
        <v>1102</v>
      </c>
      <c r="B465" s="451" t="s">
        <v>120</v>
      </c>
      <c r="C465" s="482"/>
      <c r="D465" s="405"/>
      <c r="E465" s="405"/>
      <c r="F465" s="405"/>
    </row>
    <row r="466" spans="1:7">
      <c r="A466" s="405" t="s">
        <v>1103</v>
      </c>
      <c r="B466" s="451" t="s">
        <v>120</v>
      </c>
      <c r="C466" s="482"/>
      <c r="D466" s="405"/>
      <c r="E466" s="405"/>
      <c r="F466" s="405"/>
    </row>
    <row r="467" spans="1:7">
      <c r="A467" s="405" t="s">
        <v>1104</v>
      </c>
      <c r="B467" s="451" t="s">
        <v>120</v>
      </c>
      <c r="C467" s="482"/>
      <c r="D467" s="405"/>
      <c r="E467" s="405"/>
      <c r="F467" s="405"/>
    </row>
    <row r="468" spans="1:7">
      <c r="A468" s="405" t="s">
        <v>1105</v>
      </c>
      <c r="B468" s="451" t="s">
        <v>120</v>
      </c>
      <c r="C468" s="482"/>
      <c r="D468" s="405"/>
      <c r="E468" s="405"/>
      <c r="F468" s="405"/>
    </row>
    <row r="469" spans="1:7">
      <c r="A469" s="405" t="s">
        <v>1106</v>
      </c>
      <c r="B469" s="451" t="s">
        <v>120</v>
      </c>
      <c r="C469" s="482"/>
      <c r="D469" s="405"/>
      <c r="E469" s="405"/>
      <c r="F469" s="405"/>
    </row>
    <row r="470" spans="1:7">
      <c r="A470" s="405" t="s">
        <v>1107</v>
      </c>
      <c r="B470" s="451" t="s">
        <v>120</v>
      </c>
      <c r="C470" s="482"/>
      <c r="D470" s="405"/>
      <c r="E470" s="405"/>
      <c r="F470" s="405"/>
    </row>
    <row r="471" spans="1:7">
      <c r="A471" s="405" t="s">
        <v>1108</v>
      </c>
      <c r="B471" s="451" t="s">
        <v>120</v>
      </c>
      <c r="C471" s="482"/>
      <c r="D471" s="405"/>
      <c r="E471" s="405"/>
      <c r="F471" s="405"/>
    </row>
    <row r="472" spans="1:7">
      <c r="A472" s="466"/>
      <c r="B472" s="466" t="s">
        <v>1109</v>
      </c>
      <c r="C472" s="436" t="s">
        <v>78</v>
      </c>
      <c r="D472" s="436" t="s">
        <v>1110</v>
      </c>
      <c r="E472" s="436"/>
      <c r="F472" s="436" t="s">
        <v>568</v>
      </c>
      <c r="G472" s="436" t="s">
        <v>1111</v>
      </c>
    </row>
    <row r="473" spans="1:7">
      <c r="A473" s="405" t="s">
        <v>1112</v>
      </c>
      <c r="B473" s="428" t="s">
        <v>744</v>
      </c>
      <c r="C473" s="439" t="s">
        <v>1008</v>
      </c>
      <c r="D473" s="502" t="s">
        <v>1008</v>
      </c>
      <c r="E473" s="424"/>
      <c r="F473" s="447" t="s">
        <v>149</v>
      </c>
      <c r="G473" s="447" t="s">
        <v>149</v>
      </c>
    </row>
    <row r="474" spans="1:7">
      <c r="A474" s="405" t="s">
        <v>1113</v>
      </c>
      <c r="B474" s="428" t="s">
        <v>744</v>
      </c>
      <c r="C474" s="439" t="s">
        <v>1008</v>
      </c>
      <c r="D474" s="502" t="s">
        <v>1008</v>
      </c>
      <c r="E474" s="424"/>
      <c r="F474" s="447" t="s">
        <v>149</v>
      </c>
      <c r="G474" s="447" t="s">
        <v>149</v>
      </c>
    </row>
    <row r="475" spans="1:7">
      <c r="A475" s="405" t="s">
        <v>1114</v>
      </c>
      <c r="B475" s="428" t="s">
        <v>744</v>
      </c>
      <c r="C475" s="439" t="s">
        <v>1008</v>
      </c>
      <c r="D475" s="502" t="s">
        <v>1008</v>
      </c>
      <c r="E475" s="424"/>
      <c r="F475" s="447" t="s">
        <v>149</v>
      </c>
      <c r="G475" s="447" t="s">
        <v>149</v>
      </c>
    </row>
    <row r="476" spans="1:7">
      <c r="A476" s="405" t="s">
        <v>1115</v>
      </c>
      <c r="B476" s="428" t="s">
        <v>744</v>
      </c>
      <c r="C476" s="439" t="s">
        <v>1008</v>
      </c>
      <c r="D476" s="502" t="s">
        <v>1008</v>
      </c>
      <c r="E476" s="424"/>
      <c r="F476" s="447" t="s">
        <v>149</v>
      </c>
      <c r="G476" s="447" t="s">
        <v>149</v>
      </c>
    </row>
    <row r="477" spans="1:7">
      <c r="A477" s="405" t="s">
        <v>1116</v>
      </c>
      <c r="B477" s="428" t="s">
        <v>744</v>
      </c>
      <c r="C477" s="439" t="s">
        <v>1008</v>
      </c>
      <c r="D477" s="502" t="s">
        <v>1008</v>
      </c>
      <c r="E477" s="424"/>
      <c r="F477" s="447" t="s">
        <v>149</v>
      </c>
      <c r="G477" s="447" t="s">
        <v>149</v>
      </c>
    </row>
    <row r="478" spans="1:7">
      <c r="A478" s="405" t="s">
        <v>1117</v>
      </c>
      <c r="B478" s="428" t="s">
        <v>744</v>
      </c>
      <c r="C478" s="439" t="s">
        <v>1008</v>
      </c>
      <c r="D478" s="502" t="s">
        <v>1008</v>
      </c>
      <c r="E478" s="424"/>
      <c r="F478" s="447" t="s">
        <v>149</v>
      </c>
      <c r="G478" s="447" t="s">
        <v>149</v>
      </c>
    </row>
    <row r="479" spans="1:7">
      <c r="A479" s="405" t="s">
        <v>1118</v>
      </c>
      <c r="B479" s="428" t="s">
        <v>744</v>
      </c>
      <c r="C479" s="439" t="s">
        <v>1008</v>
      </c>
      <c r="D479" s="502" t="s">
        <v>1008</v>
      </c>
      <c r="E479" s="424"/>
      <c r="F479" s="447" t="s">
        <v>149</v>
      </c>
      <c r="G479" s="447" t="s">
        <v>149</v>
      </c>
    </row>
    <row r="480" spans="1:7">
      <c r="A480" s="405" t="s">
        <v>1119</v>
      </c>
      <c r="B480" s="428" t="s">
        <v>744</v>
      </c>
      <c r="C480" s="439" t="s">
        <v>1008</v>
      </c>
      <c r="D480" s="502" t="s">
        <v>1008</v>
      </c>
      <c r="E480" s="424"/>
      <c r="F480" s="447" t="s">
        <v>149</v>
      </c>
      <c r="G480" s="447" t="s">
        <v>149</v>
      </c>
    </row>
    <row r="481" spans="1:7">
      <c r="A481" s="405" t="s">
        <v>1120</v>
      </c>
      <c r="B481" s="428" t="s">
        <v>744</v>
      </c>
      <c r="C481" s="439" t="s">
        <v>1008</v>
      </c>
      <c r="D481" s="502" t="s">
        <v>1008</v>
      </c>
      <c r="E481" s="424"/>
      <c r="F481" s="447" t="s">
        <v>149</v>
      </c>
      <c r="G481" s="447" t="s">
        <v>149</v>
      </c>
    </row>
    <row r="482" spans="1:7">
      <c r="A482" s="405" t="s">
        <v>1121</v>
      </c>
      <c r="B482" s="428" t="s">
        <v>744</v>
      </c>
      <c r="C482" s="439" t="s">
        <v>1008</v>
      </c>
      <c r="D482" s="502" t="s">
        <v>1008</v>
      </c>
      <c r="E482" s="424"/>
      <c r="F482" s="447" t="s">
        <v>149</v>
      </c>
      <c r="G482" s="447" t="s">
        <v>149</v>
      </c>
    </row>
    <row r="483" spans="1:7">
      <c r="A483" s="405" t="s">
        <v>1122</v>
      </c>
      <c r="B483" s="428" t="s">
        <v>744</v>
      </c>
      <c r="C483" s="439" t="s">
        <v>1008</v>
      </c>
      <c r="D483" s="502" t="s">
        <v>1008</v>
      </c>
      <c r="E483" s="424"/>
      <c r="F483" s="447" t="s">
        <v>149</v>
      </c>
      <c r="G483" s="447" t="s">
        <v>149</v>
      </c>
    </row>
    <row r="484" spans="1:7">
      <c r="A484" s="405" t="s">
        <v>1123</v>
      </c>
      <c r="B484" s="428" t="s">
        <v>744</v>
      </c>
      <c r="C484" s="439" t="s">
        <v>1008</v>
      </c>
      <c r="D484" s="502" t="s">
        <v>1008</v>
      </c>
      <c r="E484" s="424"/>
      <c r="F484" s="447" t="s">
        <v>149</v>
      </c>
      <c r="G484" s="447" t="s">
        <v>149</v>
      </c>
    </row>
    <row r="485" spans="1:7">
      <c r="A485" s="405" t="s">
        <v>1124</v>
      </c>
      <c r="B485" s="428" t="s">
        <v>744</v>
      </c>
      <c r="C485" s="439" t="s">
        <v>1008</v>
      </c>
      <c r="D485" s="502" t="s">
        <v>1008</v>
      </c>
      <c r="E485" s="424"/>
      <c r="F485" s="447" t="s">
        <v>149</v>
      </c>
      <c r="G485" s="447" t="s">
        <v>149</v>
      </c>
    </row>
    <row r="486" spans="1:7">
      <c r="A486" s="405" t="s">
        <v>1125</v>
      </c>
      <c r="B486" s="428" t="s">
        <v>744</v>
      </c>
      <c r="C486" s="439" t="s">
        <v>1008</v>
      </c>
      <c r="D486" s="502" t="s">
        <v>1008</v>
      </c>
      <c r="E486" s="424"/>
      <c r="F486" s="447" t="s">
        <v>149</v>
      </c>
      <c r="G486" s="447" t="s">
        <v>149</v>
      </c>
    </row>
    <row r="487" spans="1:7">
      <c r="A487" s="405" t="s">
        <v>1126</v>
      </c>
      <c r="B487" s="428" t="s">
        <v>744</v>
      </c>
      <c r="C487" s="439" t="s">
        <v>1008</v>
      </c>
      <c r="D487" s="502" t="s">
        <v>1008</v>
      </c>
      <c r="E487" s="424"/>
      <c r="F487" s="447" t="s">
        <v>149</v>
      </c>
      <c r="G487" s="447" t="s">
        <v>149</v>
      </c>
    </row>
    <row r="488" spans="1:7">
      <c r="A488" s="405" t="s">
        <v>1127</v>
      </c>
      <c r="B488" s="428" t="s">
        <v>744</v>
      </c>
      <c r="C488" s="439" t="s">
        <v>1008</v>
      </c>
      <c r="D488" s="502" t="s">
        <v>1008</v>
      </c>
      <c r="E488" s="424"/>
      <c r="F488" s="447" t="s">
        <v>149</v>
      </c>
      <c r="G488" s="447" t="s">
        <v>149</v>
      </c>
    </row>
    <row r="489" spans="1:7">
      <c r="A489" s="405" t="s">
        <v>1128</v>
      </c>
      <c r="B489" s="428" t="s">
        <v>744</v>
      </c>
      <c r="C489" s="439" t="s">
        <v>1008</v>
      </c>
      <c r="D489" s="502" t="s">
        <v>1008</v>
      </c>
      <c r="E489" s="424"/>
      <c r="F489" s="447" t="s">
        <v>149</v>
      </c>
      <c r="G489" s="447" t="s">
        <v>149</v>
      </c>
    </row>
    <row r="490" spans="1:7">
      <c r="A490" s="405" t="s">
        <v>1129</v>
      </c>
      <c r="B490" s="428" t="s">
        <v>878</v>
      </c>
      <c r="C490" s="439" t="s">
        <v>1008</v>
      </c>
      <c r="D490" s="502" t="s">
        <v>1008</v>
      </c>
      <c r="E490" s="424"/>
      <c r="F490" s="447" t="s">
        <v>149</v>
      </c>
      <c r="G490" s="447" t="s">
        <v>149</v>
      </c>
    </row>
    <row r="491" spans="1:7">
      <c r="A491" s="405" t="s">
        <v>1130</v>
      </c>
      <c r="B491" s="428" t="s">
        <v>118</v>
      </c>
      <c r="C491" s="439">
        <v>0</v>
      </c>
      <c r="D491" s="502">
        <v>0</v>
      </c>
      <c r="E491" s="424"/>
      <c r="F491" s="482">
        <v>0</v>
      </c>
      <c r="G491" s="482">
        <v>0</v>
      </c>
    </row>
    <row r="492" spans="1:7">
      <c r="A492" s="405" t="s">
        <v>1131</v>
      </c>
      <c r="B492" s="428"/>
      <c r="C492" s="405"/>
      <c r="D492" s="405"/>
      <c r="E492" s="424"/>
      <c r="F492" s="424"/>
      <c r="G492" s="424"/>
    </row>
    <row r="493" spans="1:7">
      <c r="A493" s="405" t="s">
        <v>1132</v>
      </c>
      <c r="B493" s="428"/>
      <c r="C493" s="405"/>
      <c r="D493" s="405"/>
      <c r="E493" s="424"/>
      <c r="F493" s="424"/>
      <c r="G493" s="424"/>
    </row>
    <row r="494" spans="1:7">
      <c r="A494" s="405" t="s">
        <v>1133</v>
      </c>
      <c r="B494" s="428"/>
      <c r="C494" s="405"/>
      <c r="D494" s="405"/>
      <c r="E494" s="424"/>
      <c r="F494" s="424"/>
      <c r="G494" s="424"/>
    </row>
    <row r="495" spans="1:7">
      <c r="A495" s="466"/>
      <c r="B495" s="455" t="s">
        <v>1134</v>
      </c>
      <c r="C495" s="436" t="s">
        <v>78</v>
      </c>
      <c r="D495" s="436" t="s">
        <v>1110</v>
      </c>
      <c r="E495" s="436"/>
      <c r="F495" s="436" t="s">
        <v>568</v>
      </c>
      <c r="G495" s="436" t="s">
        <v>1111</v>
      </c>
    </row>
    <row r="496" spans="1:7">
      <c r="A496" s="405" t="s">
        <v>1135</v>
      </c>
      <c r="B496" s="428" t="s">
        <v>744</v>
      </c>
      <c r="C496" s="439" t="s">
        <v>1008</v>
      </c>
      <c r="D496" s="502" t="s">
        <v>1008</v>
      </c>
      <c r="E496" s="424"/>
      <c r="F496" s="447" t="s">
        <v>149</v>
      </c>
      <c r="G496" s="447" t="s">
        <v>149</v>
      </c>
    </row>
    <row r="497" spans="1:7">
      <c r="A497" s="405" t="s">
        <v>1136</v>
      </c>
      <c r="B497" s="428" t="s">
        <v>744</v>
      </c>
      <c r="C497" s="439" t="s">
        <v>1008</v>
      </c>
      <c r="D497" s="502" t="s">
        <v>1008</v>
      </c>
      <c r="E497" s="424"/>
      <c r="F497" s="447" t="s">
        <v>149</v>
      </c>
      <c r="G497" s="447" t="s">
        <v>149</v>
      </c>
    </row>
    <row r="498" spans="1:7">
      <c r="A498" s="405" t="s">
        <v>1137</v>
      </c>
      <c r="B498" s="428" t="s">
        <v>744</v>
      </c>
      <c r="C498" s="439" t="s">
        <v>1008</v>
      </c>
      <c r="D498" s="502" t="s">
        <v>1008</v>
      </c>
      <c r="E498" s="424"/>
      <c r="F498" s="447" t="s">
        <v>149</v>
      </c>
      <c r="G498" s="447" t="s">
        <v>149</v>
      </c>
    </row>
    <row r="499" spans="1:7">
      <c r="A499" s="405" t="s">
        <v>1138</v>
      </c>
      <c r="B499" s="428" t="s">
        <v>744</v>
      </c>
      <c r="C499" s="439" t="s">
        <v>1008</v>
      </c>
      <c r="D499" s="502" t="s">
        <v>1008</v>
      </c>
      <c r="E499" s="424"/>
      <c r="F499" s="447" t="s">
        <v>149</v>
      </c>
      <c r="G499" s="447" t="s">
        <v>149</v>
      </c>
    </row>
    <row r="500" spans="1:7">
      <c r="A500" s="405" t="s">
        <v>1139</v>
      </c>
      <c r="B500" s="428" t="s">
        <v>744</v>
      </c>
      <c r="C500" s="439" t="s">
        <v>1008</v>
      </c>
      <c r="D500" s="502" t="s">
        <v>1008</v>
      </c>
      <c r="E500" s="424"/>
      <c r="F500" s="447" t="s">
        <v>149</v>
      </c>
      <c r="G500" s="447" t="s">
        <v>149</v>
      </c>
    </row>
    <row r="501" spans="1:7">
      <c r="A501" s="405" t="s">
        <v>1140</v>
      </c>
      <c r="B501" s="428" t="s">
        <v>744</v>
      </c>
      <c r="C501" s="439" t="s">
        <v>1008</v>
      </c>
      <c r="D501" s="502" t="s">
        <v>1008</v>
      </c>
      <c r="E501" s="424"/>
      <c r="F501" s="447" t="s">
        <v>149</v>
      </c>
      <c r="G501" s="447" t="s">
        <v>149</v>
      </c>
    </row>
    <row r="502" spans="1:7">
      <c r="A502" s="405" t="s">
        <v>1141</v>
      </c>
      <c r="B502" s="428" t="s">
        <v>744</v>
      </c>
      <c r="C502" s="439" t="s">
        <v>1008</v>
      </c>
      <c r="D502" s="502" t="s">
        <v>1008</v>
      </c>
      <c r="E502" s="424"/>
      <c r="F502" s="447" t="s">
        <v>149</v>
      </c>
      <c r="G502" s="447" t="s">
        <v>149</v>
      </c>
    </row>
    <row r="503" spans="1:7">
      <c r="A503" s="405" t="s">
        <v>1142</v>
      </c>
      <c r="B503" s="428" t="s">
        <v>744</v>
      </c>
      <c r="C503" s="439" t="s">
        <v>1008</v>
      </c>
      <c r="D503" s="502" t="s">
        <v>1008</v>
      </c>
      <c r="E503" s="424"/>
      <c r="F503" s="447" t="s">
        <v>149</v>
      </c>
      <c r="G503" s="447" t="s">
        <v>149</v>
      </c>
    </row>
    <row r="504" spans="1:7">
      <c r="A504" s="405" t="s">
        <v>1143</v>
      </c>
      <c r="B504" s="428" t="s">
        <v>744</v>
      </c>
      <c r="C504" s="439" t="s">
        <v>1008</v>
      </c>
      <c r="D504" s="502" t="s">
        <v>1008</v>
      </c>
      <c r="E504" s="424"/>
      <c r="F504" s="447" t="s">
        <v>149</v>
      </c>
      <c r="G504" s="447" t="s">
        <v>149</v>
      </c>
    </row>
    <row r="505" spans="1:7">
      <c r="A505" s="405" t="s">
        <v>1144</v>
      </c>
      <c r="B505" s="428" t="s">
        <v>744</v>
      </c>
      <c r="C505" s="439" t="s">
        <v>1008</v>
      </c>
      <c r="D505" s="502" t="s">
        <v>1008</v>
      </c>
      <c r="E505" s="424"/>
      <c r="F505" s="447" t="s">
        <v>149</v>
      </c>
      <c r="G505" s="447" t="s">
        <v>149</v>
      </c>
    </row>
    <row r="506" spans="1:7">
      <c r="A506" s="405" t="s">
        <v>1145</v>
      </c>
      <c r="B506" s="428" t="s">
        <v>744</v>
      </c>
      <c r="C506" s="439" t="s">
        <v>1008</v>
      </c>
      <c r="D506" s="502" t="s">
        <v>1008</v>
      </c>
      <c r="E506" s="424"/>
      <c r="F506" s="447" t="s">
        <v>149</v>
      </c>
      <c r="G506" s="447" t="s">
        <v>149</v>
      </c>
    </row>
    <row r="507" spans="1:7">
      <c r="A507" s="405" t="s">
        <v>1146</v>
      </c>
      <c r="B507" s="428" t="s">
        <v>744</v>
      </c>
      <c r="C507" s="439" t="s">
        <v>1008</v>
      </c>
      <c r="D507" s="502" t="s">
        <v>1008</v>
      </c>
      <c r="E507" s="424"/>
      <c r="F507" s="447" t="s">
        <v>149</v>
      </c>
      <c r="G507" s="447" t="s">
        <v>149</v>
      </c>
    </row>
    <row r="508" spans="1:7">
      <c r="A508" s="405" t="s">
        <v>1147</v>
      </c>
      <c r="B508" s="428" t="s">
        <v>744</v>
      </c>
      <c r="C508" s="439" t="s">
        <v>1008</v>
      </c>
      <c r="D508" s="502" t="s">
        <v>1008</v>
      </c>
      <c r="E508" s="424"/>
      <c r="F508" s="447" t="s">
        <v>149</v>
      </c>
      <c r="G508" s="447" t="s">
        <v>149</v>
      </c>
    </row>
    <row r="509" spans="1:7">
      <c r="A509" s="405" t="s">
        <v>1148</v>
      </c>
      <c r="B509" s="428" t="s">
        <v>744</v>
      </c>
      <c r="C509" s="439" t="s">
        <v>1008</v>
      </c>
      <c r="D509" s="502" t="s">
        <v>1008</v>
      </c>
      <c r="E509" s="424"/>
      <c r="F509" s="447" t="s">
        <v>149</v>
      </c>
      <c r="G509" s="447" t="s">
        <v>149</v>
      </c>
    </row>
    <row r="510" spans="1:7">
      <c r="A510" s="405" t="s">
        <v>1149</v>
      </c>
      <c r="B510" s="428" t="s">
        <v>744</v>
      </c>
      <c r="C510" s="439" t="s">
        <v>1008</v>
      </c>
      <c r="D510" s="502" t="s">
        <v>1008</v>
      </c>
      <c r="E510" s="424"/>
      <c r="F510" s="447" t="s">
        <v>149</v>
      </c>
      <c r="G510" s="447" t="s">
        <v>149</v>
      </c>
    </row>
    <row r="511" spans="1:7">
      <c r="A511" s="405" t="s">
        <v>1150</v>
      </c>
      <c r="B511" s="428" t="s">
        <v>744</v>
      </c>
      <c r="C511" s="439" t="s">
        <v>1008</v>
      </c>
      <c r="D511" s="502" t="s">
        <v>1008</v>
      </c>
      <c r="E511" s="424"/>
      <c r="F511" s="447" t="s">
        <v>149</v>
      </c>
      <c r="G511" s="447" t="s">
        <v>149</v>
      </c>
    </row>
    <row r="512" spans="1:7">
      <c r="A512" s="405" t="s">
        <v>1151</v>
      </c>
      <c r="B512" s="428" t="s">
        <v>744</v>
      </c>
      <c r="C512" s="439" t="s">
        <v>1008</v>
      </c>
      <c r="D512" s="502" t="s">
        <v>1008</v>
      </c>
      <c r="E512" s="424"/>
      <c r="F512" s="447" t="s">
        <v>149</v>
      </c>
      <c r="G512" s="447" t="s">
        <v>149</v>
      </c>
    </row>
    <row r="513" spans="1:7">
      <c r="A513" s="405" t="s">
        <v>1152</v>
      </c>
      <c r="B513" s="428" t="s">
        <v>878</v>
      </c>
      <c r="C513" s="439" t="s">
        <v>1008</v>
      </c>
      <c r="D513" s="502" t="s">
        <v>1008</v>
      </c>
      <c r="E513" s="424"/>
      <c r="F513" s="447" t="s">
        <v>149</v>
      </c>
      <c r="G513" s="447" t="s">
        <v>149</v>
      </c>
    </row>
    <row r="514" spans="1:7">
      <c r="A514" s="405" t="s">
        <v>1153</v>
      </c>
      <c r="B514" s="428" t="s">
        <v>118</v>
      </c>
      <c r="C514" s="439">
        <v>0</v>
      </c>
      <c r="D514" s="502">
        <v>0</v>
      </c>
      <c r="E514" s="424"/>
      <c r="F514" s="482">
        <v>0</v>
      </c>
      <c r="G514" s="482">
        <v>0</v>
      </c>
    </row>
    <row r="515" spans="1:7">
      <c r="A515" s="405" t="s">
        <v>1154</v>
      </c>
      <c r="B515" s="428"/>
      <c r="C515" s="405"/>
      <c r="D515" s="405"/>
      <c r="E515" s="424"/>
      <c r="F515" s="424"/>
      <c r="G515" s="424"/>
    </row>
    <row r="516" spans="1:7">
      <c r="A516" s="405" t="s">
        <v>1155</v>
      </c>
      <c r="B516" s="428"/>
      <c r="C516" s="405"/>
      <c r="D516" s="405"/>
      <c r="E516" s="424"/>
      <c r="F516" s="424"/>
      <c r="G516" s="424"/>
    </row>
    <row r="517" spans="1:7">
      <c r="A517" s="405" t="s">
        <v>1156</v>
      </c>
      <c r="B517" s="428"/>
      <c r="C517" s="405"/>
      <c r="D517" s="405"/>
      <c r="E517" s="424"/>
      <c r="F517" s="424"/>
      <c r="G517" s="424"/>
    </row>
    <row r="518" spans="1:7">
      <c r="A518" s="466"/>
      <c r="B518" s="466" t="s">
        <v>1157</v>
      </c>
      <c r="C518" s="436" t="s">
        <v>78</v>
      </c>
      <c r="D518" s="436" t="s">
        <v>1110</v>
      </c>
      <c r="E518" s="436"/>
      <c r="F518" s="436" t="s">
        <v>568</v>
      </c>
      <c r="G518" s="436" t="s">
        <v>1111</v>
      </c>
    </row>
    <row r="519" spans="1:7">
      <c r="A519" s="405" t="s">
        <v>1158</v>
      </c>
      <c r="B519" s="428" t="s">
        <v>908</v>
      </c>
      <c r="C519" s="439" t="s">
        <v>1008</v>
      </c>
      <c r="D519" s="502" t="s">
        <v>1008</v>
      </c>
      <c r="E519" s="424"/>
      <c r="F519" s="447" t="s">
        <v>149</v>
      </c>
      <c r="G519" s="447" t="s">
        <v>149</v>
      </c>
    </row>
    <row r="520" spans="1:7">
      <c r="A520" s="405" t="s">
        <v>1159</v>
      </c>
      <c r="B520" s="428" t="s">
        <v>910</v>
      </c>
      <c r="C520" s="439" t="s">
        <v>1008</v>
      </c>
      <c r="D520" s="502" t="s">
        <v>1008</v>
      </c>
      <c r="E520" s="424"/>
      <c r="F520" s="447" t="s">
        <v>149</v>
      </c>
      <c r="G520" s="447" t="s">
        <v>149</v>
      </c>
    </row>
    <row r="521" spans="1:7">
      <c r="A521" s="405" t="s">
        <v>1160</v>
      </c>
      <c r="B521" s="428" t="s">
        <v>912</v>
      </c>
      <c r="C521" s="439" t="s">
        <v>1008</v>
      </c>
      <c r="D521" s="502" t="s">
        <v>1008</v>
      </c>
      <c r="E521" s="424"/>
      <c r="F521" s="447" t="s">
        <v>149</v>
      </c>
      <c r="G521" s="447" t="s">
        <v>149</v>
      </c>
    </row>
    <row r="522" spans="1:7">
      <c r="A522" s="405" t="s">
        <v>1161</v>
      </c>
      <c r="B522" s="428" t="s">
        <v>914</v>
      </c>
      <c r="C522" s="439" t="s">
        <v>1008</v>
      </c>
      <c r="D522" s="502" t="s">
        <v>1008</v>
      </c>
      <c r="E522" s="424"/>
      <c r="F522" s="447" t="s">
        <v>149</v>
      </c>
      <c r="G522" s="447" t="s">
        <v>149</v>
      </c>
    </row>
    <row r="523" spans="1:7">
      <c r="A523" s="405" t="s">
        <v>1162</v>
      </c>
      <c r="B523" s="428" t="s">
        <v>916</v>
      </c>
      <c r="C523" s="439" t="s">
        <v>1008</v>
      </c>
      <c r="D523" s="502" t="s">
        <v>1008</v>
      </c>
      <c r="E523" s="424"/>
      <c r="F523" s="447" t="s">
        <v>149</v>
      </c>
      <c r="G523" s="447" t="s">
        <v>149</v>
      </c>
    </row>
    <row r="524" spans="1:7">
      <c r="A524" s="405" t="s">
        <v>1163</v>
      </c>
      <c r="B524" s="428" t="s">
        <v>918</v>
      </c>
      <c r="C524" s="439" t="s">
        <v>1008</v>
      </c>
      <c r="D524" s="502" t="s">
        <v>1008</v>
      </c>
      <c r="E524" s="424"/>
      <c r="F524" s="447" t="s">
        <v>149</v>
      </c>
      <c r="G524" s="447" t="s">
        <v>149</v>
      </c>
    </row>
    <row r="525" spans="1:7">
      <c r="A525" s="405" t="s">
        <v>1164</v>
      </c>
      <c r="B525" s="428" t="s">
        <v>920</v>
      </c>
      <c r="C525" s="439" t="s">
        <v>1008</v>
      </c>
      <c r="D525" s="502" t="s">
        <v>1008</v>
      </c>
      <c r="E525" s="424"/>
      <c r="F525" s="447" t="s">
        <v>149</v>
      </c>
      <c r="G525" s="447" t="s">
        <v>149</v>
      </c>
    </row>
    <row r="526" spans="1:7">
      <c r="A526" s="405" t="s">
        <v>1165</v>
      </c>
      <c r="B526" s="428" t="s">
        <v>922</v>
      </c>
      <c r="C526" s="439" t="s">
        <v>1008</v>
      </c>
      <c r="D526" s="502" t="s">
        <v>1008</v>
      </c>
      <c r="E526" s="424"/>
      <c r="F526" s="447" t="s">
        <v>149</v>
      </c>
      <c r="G526" s="447" t="s">
        <v>149</v>
      </c>
    </row>
    <row r="527" spans="1:7">
      <c r="A527" s="405" t="s">
        <v>1166</v>
      </c>
      <c r="B527" s="428" t="s">
        <v>924</v>
      </c>
      <c r="C527" s="439" t="s">
        <v>1008</v>
      </c>
      <c r="D527" s="502" t="s">
        <v>1008</v>
      </c>
      <c r="E527" s="424"/>
      <c r="F527" s="447" t="s">
        <v>149</v>
      </c>
      <c r="G527" s="447" t="s">
        <v>149</v>
      </c>
    </row>
    <row r="528" spans="1:7">
      <c r="A528" s="405" t="s">
        <v>1167</v>
      </c>
      <c r="B528" s="405" t="s">
        <v>878</v>
      </c>
      <c r="C528" s="439" t="s">
        <v>1008</v>
      </c>
      <c r="D528" s="502" t="s">
        <v>1008</v>
      </c>
      <c r="E528" s="424"/>
      <c r="F528" s="447" t="s">
        <v>149</v>
      </c>
      <c r="G528" s="447" t="s">
        <v>149</v>
      </c>
    </row>
    <row r="529" spans="1:7">
      <c r="A529" s="405" t="s">
        <v>1168</v>
      </c>
      <c r="B529" s="428" t="s">
        <v>118</v>
      </c>
      <c r="C529" s="439">
        <v>0</v>
      </c>
      <c r="D529" s="502">
        <v>0</v>
      </c>
      <c r="E529" s="424"/>
      <c r="F529" s="482">
        <v>0</v>
      </c>
      <c r="G529" s="482">
        <v>0</v>
      </c>
    </row>
    <row r="530" spans="1:7">
      <c r="A530" s="405" t="s">
        <v>1169</v>
      </c>
      <c r="B530" s="405"/>
      <c r="C530" s="405"/>
      <c r="D530" s="405"/>
      <c r="E530" s="405"/>
      <c r="F530" s="405"/>
    </row>
    <row r="531" spans="1:7">
      <c r="A531" s="466"/>
      <c r="B531" s="466" t="s">
        <v>1170</v>
      </c>
      <c r="C531" s="436" t="s">
        <v>78</v>
      </c>
      <c r="D531" s="436" t="s">
        <v>858</v>
      </c>
      <c r="E531" s="436"/>
      <c r="F531" s="436" t="s">
        <v>567</v>
      </c>
      <c r="G531" s="436" t="s">
        <v>1111</v>
      </c>
    </row>
    <row r="532" spans="1:7">
      <c r="A532" s="405" t="s">
        <v>1171</v>
      </c>
      <c r="B532" s="428" t="s">
        <v>947</v>
      </c>
      <c r="C532" s="439" t="s">
        <v>1008</v>
      </c>
      <c r="D532" s="502" t="s">
        <v>1008</v>
      </c>
      <c r="E532" s="424"/>
      <c r="F532" s="447" t="s">
        <v>149</v>
      </c>
      <c r="G532" s="447" t="s">
        <v>149</v>
      </c>
    </row>
    <row r="533" spans="1:7">
      <c r="A533" s="405" t="s">
        <v>1172</v>
      </c>
      <c r="B533" s="505" t="s">
        <v>1173</v>
      </c>
      <c r="C533" s="439" t="s">
        <v>1008</v>
      </c>
      <c r="D533" s="502" t="s">
        <v>1008</v>
      </c>
      <c r="E533" s="424"/>
      <c r="F533" s="447" t="s">
        <v>149</v>
      </c>
      <c r="G533" s="447" t="s">
        <v>149</v>
      </c>
    </row>
    <row r="534" spans="1:7">
      <c r="A534" s="405" t="s">
        <v>1174</v>
      </c>
      <c r="B534" s="428" t="s">
        <v>942</v>
      </c>
      <c r="C534" s="439" t="s">
        <v>1008</v>
      </c>
      <c r="D534" s="502" t="s">
        <v>1008</v>
      </c>
      <c r="E534" s="424"/>
      <c r="F534" s="447" t="s">
        <v>149</v>
      </c>
      <c r="G534" s="447" t="s">
        <v>149</v>
      </c>
    </row>
    <row r="535" spans="1:7">
      <c r="A535" s="405" t="s">
        <v>1175</v>
      </c>
      <c r="B535" s="405" t="s">
        <v>878</v>
      </c>
      <c r="C535" s="439" t="s">
        <v>1008</v>
      </c>
      <c r="D535" s="502" t="s">
        <v>1008</v>
      </c>
      <c r="E535" s="424"/>
      <c r="F535" s="447" t="s">
        <v>149</v>
      </c>
      <c r="G535" s="447" t="s">
        <v>149</v>
      </c>
    </row>
    <row r="536" spans="1:7">
      <c r="A536" s="405" t="s">
        <v>1176</v>
      </c>
      <c r="B536" s="428" t="s">
        <v>118</v>
      </c>
      <c r="C536" s="439">
        <v>0</v>
      </c>
      <c r="D536" s="502">
        <v>0</v>
      </c>
      <c r="E536" s="424"/>
      <c r="F536" s="482">
        <v>0</v>
      </c>
      <c r="G536" s="482">
        <v>0</v>
      </c>
    </row>
    <row r="537" spans="1:7">
      <c r="A537" s="405"/>
      <c r="B537" s="405"/>
      <c r="C537" s="405"/>
      <c r="D537" s="405"/>
      <c r="E537" s="405"/>
      <c r="F537" s="405"/>
    </row>
    <row r="538" spans="1:7">
      <c r="A538" s="405"/>
      <c r="B538" s="405"/>
      <c r="C538" s="405"/>
      <c r="D538" s="405"/>
      <c r="E538" s="405"/>
      <c r="F538" s="405"/>
    </row>
    <row r="539" spans="1:7">
      <c r="A539" s="405"/>
      <c r="B539" s="405"/>
      <c r="C539" s="405"/>
      <c r="D539" s="405"/>
      <c r="E539" s="405"/>
      <c r="F539" s="405"/>
    </row>
    <row r="540" spans="1:7">
      <c r="A540" s="405"/>
      <c r="B540" s="405"/>
      <c r="C540" s="405"/>
      <c r="D540" s="405"/>
      <c r="E540" s="405"/>
      <c r="F540" s="405"/>
    </row>
    <row r="541" spans="1:7">
      <c r="A541" s="405"/>
      <c r="B541" s="405"/>
      <c r="C541" s="405"/>
      <c r="D541" s="405"/>
      <c r="E541" s="405"/>
      <c r="F541" s="405"/>
    </row>
    <row r="542" spans="1:7">
      <c r="A542" s="405"/>
      <c r="B542" s="405"/>
      <c r="C542" s="405"/>
      <c r="D542" s="405"/>
      <c r="E542" s="405"/>
      <c r="F542" s="405"/>
    </row>
    <row r="543" spans="1:7">
      <c r="A543" s="405"/>
      <c r="B543" s="405"/>
      <c r="C543" s="405"/>
      <c r="D543" s="405"/>
      <c r="E543" s="405"/>
      <c r="F543" s="405"/>
    </row>
    <row r="544" spans="1:7">
      <c r="A544" s="405"/>
      <c r="B544" s="405"/>
      <c r="C544" s="405"/>
      <c r="D544" s="405"/>
      <c r="E544" s="405"/>
      <c r="F544" s="405"/>
    </row>
    <row r="545" spans="1:6">
      <c r="A545" s="405"/>
      <c r="B545" s="405"/>
      <c r="C545" s="405"/>
      <c r="D545" s="405"/>
      <c r="E545" s="405"/>
      <c r="F545" s="405"/>
    </row>
    <row r="546" spans="1:6">
      <c r="A546" s="405"/>
      <c r="B546" s="405"/>
      <c r="C546" s="405"/>
      <c r="D546" s="405"/>
      <c r="E546" s="405"/>
      <c r="F546" s="405"/>
    </row>
    <row r="547" spans="1:6">
      <c r="A547" s="405"/>
      <c r="B547" s="405"/>
      <c r="C547" s="405"/>
      <c r="D547" s="405"/>
      <c r="E547" s="405"/>
      <c r="F547" s="405"/>
    </row>
    <row r="548" spans="1:6">
      <c r="A548" s="405"/>
      <c r="B548" s="405"/>
      <c r="C548" s="405"/>
      <c r="D548" s="405"/>
      <c r="E548" s="405"/>
      <c r="F548" s="405"/>
    </row>
    <row r="549" spans="1:6">
      <c r="A549" s="405"/>
      <c r="B549" s="405"/>
      <c r="C549" s="405"/>
      <c r="D549" s="405"/>
      <c r="E549" s="405"/>
      <c r="F549" s="405"/>
    </row>
    <row r="550" spans="1:6">
      <c r="A550" s="405"/>
      <c r="B550" s="405"/>
      <c r="C550" s="405"/>
      <c r="D550" s="405"/>
      <c r="E550" s="405"/>
      <c r="F550" s="405"/>
    </row>
    <row r="551" spans="1:6">
      <c r="A551" s="405"/>
      <c r="B551" s="405"/>
      <c r="C551" s="405"/>
      <c r="D551" s="405"/>
      <c r="E551" s="405"/>
      <c r="F551" s="405"/>
    </row>
    <row r="552" spans="1:6">
      <c r="A552" s="405"/>
      <c r="B552" s="405"/>
      <c r="C552" s="405"/>
      <c r="D552" s="405"/>
      <c r="E552" s="405"/>
      <c r="F552" s="405"/>
    </row>
    <row r="553" spans="1:6">
      <c r="A553" s="405"/>
      <c r="B553" s="405"/>
      <c r="C553" s="405"/>
      <c r="D553" s="405"/>
      <c r="E553" s="405"/>
      <c r="F553" s="405"/>
    </row>
    <row r="554" spans="1:6">
      <c r="A554" s="405"/>
      <c r="B554" s="405"/>
      <c r="C554" s="405"/>
      <c r="D554" s="405"/>
      <c r="E554" s="405"/>
      <c r="F554" s="405"/>
    </row>
    <row r="555" spans="1:6">
      <c r="A555" s="405"/>
      <c r="B555" s="405"/>
      <c r="C555" s="405"/>
      <c r="D555" s="405"/>
      <c r="E555" s="405"/>
      <c r="F555" s="405"/>
    </row>
    <row r="556" spans="1:6">
      <c r="A556" s="405"/>
      <c r="B556" s="405"/>
      <c r="C556" s="405"/>
      <c r="D556" s="405"/>
      <c r="E556" s="405"/>
      <c r="F556" s="405"/>
    </row>
    <row r="557" spans="1:6">
      <c r="A557" s="405"/>
      <c r="B557" s="405"/>
      <c r="C557" s="405"/>
      <c r="D557" s="405"/>
      <c r="E557" s="405"/>
      <c r="F557" s="405"/>
    </row>
    <row r="558" spans="1:6">
      <c r="A558" s="405"/>
      <c r="B558" s="405"/>
      <c r="C558" s="405"/>
      <c r="D558" s="405"/>
      <c r="E558" s="405"/>
      <c r="F558" s="405"/>
    </row>
    <row r="559" spans="1:6">
      <c r="A559" s="405"/>
      <c r="B559" s="405"/>
      <c r="C559" s="405"/>
      <c r="D559" s="405"/>
      <c r="E559" s="405"/>
      <c r="F559" s="405"/>
    </row>
    <row r="560" spans="1:6">
      <c r="A560" s="405"/>
      <c r="B560" s="405"/>
      <c r="C560" s="405"/>
      <c r="D560" s="405"/>
      <c r="E560" s="405"/>
      <c r="F560" s="405"/>
    </row>
    <row r="561" spans="1:6">
      <c r="A561" s="405"/>
      <c r="B561" s="405"/>
      <c r="C561" s="405"/>
      <c r="D561" s="405"/>
      <c r="E561" s="405"/>
      <c r="F561" s="405"/>
    </row>
    <row r="562" spans="1:6">
      <c r="A562" s="405"/>
      <c r="B562" s="405"/>
      <c r="C562" s="405"/>
      <c r="D562" s="405"/>
      <c r="E562" s="405"/>
      <c r="F562" s="405"/>
    </row>
    <row r="563" spans="1:6">
      <c r="A563" s="405"/>
      <c r="B563" s="405"/>
      <c r="C563" s="405"/>
      <c r="D563" s="405"/>
      <c r="E563" s="405"/>
      <c r="F563" s="405"/>
    </row>
    <row r="564" spans="1:6">
      <c r="A564" s="405"/>
      <c r="B564" s="405"/>
      <c r="C564" s="405"/>
      <c r="D564" s="405"/>
      <c r="E564" s="405"/>
      <c r="F564" s="405"/>
    </row>
    <row r="565" spans="1:6">
      <c r="A565" s="405"/>
      <c r="B565" s="405"/>
      <c r="C565" s="405"/>
      <c r="D565" s="405"/>
      <c r="E565" s="405"/>
      <c r="F565" s="405"/>
    </row>
    <row r="566" spans="1:6">
      <c r="A566" s="405"/>
      <c r="B566" s="405"/>
      <c r="C566" s="405"/>
      <c r="D566" s="405"/>
      <c r="E566" s="405"/>
      <c r="F566" s="405"/>
    </row>
    <row r="567" spans="1:6">
      <c r="A567" s="405"/>
      <c r="B567" s="405"/>
      <c r="C567" s="405"/>
      <c r="D567" s="405"/>
      <c r="E567" s="405"/>
      <c r="F567" s="405"/>
    </row>
    <row r="568" spans="1:6">
      <c r="A568" s="405"/>
      <c r="B568" s="405"/>
      <c r="C568" s="405"/>
      <c r="D568" s="405"/>
      <c r="E568" s="405"/>
      <c r="F568" s="405"/>
    </row>
    <row r="569" spans="1:6">
      <c r="A569" s="405"/>
      <c r="B569" s="405"/>
      <c r="C569" s="405"/>
      <c r="D569" s="405"/>
      <c r="E569" s="405"/>
      <c r="F569" s="405"/>
    </row>
    <row r="570" spans="1:6">
      <c r="A570" s="405"/>
      <c r="B570" s="405"/>
      <c r="C570" s="405"/>
      <c r="D570" s="405"/>
      <c r="E570" s="405"/>
      <c r="F570" s="405"/>
    </row>
    <row r="571" spans="1:6">
      <c r="A571" s="405"/>
      <c r="B571" s="405"/>
      <c r="C571" s="405"/>
      <c r="D571" s="405"/>
      <c r="E571" s="405"/>
      <c r="F571" s="405"/>
    </row>
    <row r="572" spans="1:6">
      <c r="A572" s="405"/>
      <c r="B572" s="405"/>
      <c r="C572" s="405"/>
      <c r="D572" s="405"/>
      <c r="E572" s="405"/>
      <c r="F572" s="405"/>
    </row>
    <row r="573" spans="1:6">
      <c r="A573" s="405"/>
      <c r="B573" s="405"/>
      <c r="C573" s="405"/>
      <c r="D573" s="405"/>
      <c r="E573" s="405"/>
      <c r="F573" s="405"/>
    </row>
    <row r="574" spans="1:6">
      <c r="A574" s="405"/>
      <c r="B574" s="405"/>
      <c r="C574" s="405"/>
      <c r="D574" s="405"/>
      <c r="E574" s="405"/>
      <c r="F574" s="405"/>
    </row>
    <row r="575" spans="1:6">
      <c r="A575" s="405"/>
      <c r="B575" s="405"/>
      <c r="C575" s="405"/>
      <c r="D575" s="405"/>
      <c r="E575" s="405"/>
      <c r="F575" s="405"/>
    </row>
    <row r="576" spans="1:6">
      <c r="A576" s="405"/>
      <c r="B576" s="405"/>
      <c r="C576" s="405"/>
      <c r="D576" s="405"/>
      <c r="E576" s="405"/>
      <c r="F576" s="405"/>
    </row>
    <row r="577" spans="1:6">
      <c r="A577" s="405"/>
      <c r="B577" s="405"/>
      <c r="C577" s="405"/>
      <c r="D577" s="405"/>
      <c r="E577" s="405"/>
      <c r="F577" s="405"/>
    </row>
    <row r="578" spans="1:6">
      <c r="A578" s="405"/>
      <c r="B578" s="405"/>
      <c r="C578" s="405"/>
      <c r="D578" s="405"/>
      <c r="E578" s="405"/>
      <c r="F578" s="405"/>
    </row>
    <row r="579" spans="1:6">
      <c r="A579" s="405"/>
      <c r="B579" s="405"/>
      <c r="C579" s="405"/>
      <c r="D579" s="405"/>
      <c r="E579" s="405"/>
      <c r="F579" s="405"/>
    </row>
    <row r="580" spans="1:6">
      <c r="A580" s="405"/>
      <c r="B580" s="405"/>
      <c r="C580" s="405"/>
      <c r="D580" s="405"/>
      <c r="E580" s="405"/>
      <c r="F580" s="405"/>
    </row>
    <row r="581" spans="1:6">
      <c r="A581" s="405"/>
      <c r="B581" s="405"/>
      <c r="C581" s="405"/>
      <c r="D581" s="405"/>
      <c r="E581" s="405"/>
      <c r="F581" s="405"/>
    </row>
    <row r="582" spans="1:6">
      <c r="A582" s="405"/>
      <c r="B582" s="405"/>
      <c r="C582" s="405"/>
      <c r="D582" s="405"/>
      <c r="E582" s="405"/>
      <c r="F582" s="405"/>
    </row>
    <row r="583" spans="1:6">
      <c r="A583" s="405"/>
      <c r="B583" s="405"/>
      <c r="C583" s="405"/>
      <c r="D583" s="405"/>
      <c r="E583" s="405"/>
      <c r="F583" s="405"/>
    </row>
  </sheetData>
  <hyperlinks>
    <hyperlink ref="B6" location="'B1. Mortgage Assets'!B10" display="7. Mortgage Assets" xr:uid="{7C54A37A-28B8-4521-B316-1A20AEA7D949}"/>
    <hyperlink ref="B7" location="'B1. Mortgage Assets'!B144" display="7.A Residential Cover Pool" xr:uid="{02207C49-8E83-4DE7-8BF2-64D058634ABB}"/>
    <hyperlink ref="B8" location="'B1. Mortgage Assets'!B370" display="7.B Commercial Cover Pool" xr:uid="{08DABA14-AFA1-40F5-9D0C-42154E33559C}"/>
    <hyperlink ref="B108" location="'2. Harmonised Glossary'!A9" display="Breakdown by Interest Rate" xr:uid="{EEBBF91B-F3F3-4659-BA9E-141ABAED9D3D}"/>
    <hyperlink ref="B138" location="'2. Harmonised Glossary'!A14" display="Non-Performing Loans (NPLs)" xr:uid="{9E1F7346-E1EF-453B-8382-DA47C7C9B29F}"/>
    <hyperlink ref="B11" location="'2. Harmonised Glossary'!A12" display="Property Type Information" xr:uid="{103494EF-74B8-47BA-842A-8028A8936D6F}"/>
    <hyperlink ref="B174" location="'2. Harmonised Glossary'!A288" display="Loan to Value (LTV) Information - Un-indexed" xr:uid="{6A51CCA7-9610-4293-833D-3C41AE7765B3}"/>
    <hyperlink ref="B196" location="'2. Harmonised Glossary'!A11" display="Loan to Value (LTV) Information - Indexed" xr:uid="{F6CBCA23-E621-4245-95D3-A27D845B929F}"/>
  </hyperlinks>
  <pageMargins left="0.7" right="0.7" top="0.78740157499999996" bottom="0.78740157499999996"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5887-30D6-4292-91A7-193E474C027A}">
  <sheetPr codeName="Tabelle7">
    <tabColor theme="3" tint="0.39997558519241921"/>
  </sheetPr>
  <dimension ref="A1:A22"/>
  <sheetViews>
    <sheetView workbookViewId="0">
      <selection activeCell="G17" sqref="G17"/>
    </sheetView>
  </sheetViews>
  <sheetFormatPr defaultColWidth="11.42578125" defaultRowHeight="14.25"/>
  <cols>
    <col min="1" max="1" width="14" style="535" bestFit="1" customWidth="1"/>
  </cols>
  <sheetData>
    <row r="1" spans="1:1" ht="15">
      <c r="A1" s="534" t="s">
        <v>4654</v>
      </c>
    </row>
    <row r="2" spans="1:1" ht="15">
      <c r="A2" s="534" t="s">
        <v>4655</v>
      </c>
    </row>
    <row r="3" spans="1:1" ht="15">
      <c r="A3" s="534" t="s">
        <v>4656</v>
      </c>
    </row>
    <row r="4" spans="1:1" ht="15">
      <c r="A4" s="534" t="s">
        <v>4657</v>
      </c>
    </row>
    <row r="5" spans="1:1" ht="15">
      <c r="A5" s="534" t="s">
        <v>4658</v>
      </c>
    </row>
    <row r="6" spans="1:1" ht="15">
      <c r="A6" s="534" t="s">
        <v>4659</v>
      </c>
    </row>
    <row r="7" spans="1:1" ht="15">
      <c r="A7" s="534" t="s">
        <v>4660</v>
      </c>
    </row>
    <row r="8" spans="1:1" ht="15">
      <c r="A8" s="534" t="s">
        <v>4661</v>
      </c>
    </row>
    <row r="9" spans="1:1" ht="15">
      <c r="A9" s="534" t="s">
        <v>4662</v>
      </c>
    </row>
    <row r="10" spans="1:1" ht="15">
      <c r="A10" s="534" t="s">
        <v>4663</v>
      </c>
    </row>
    <row r="11" spans="1:1" ht="15">
      <c r="A11" s="534" t="s">
        <v>4664</v>
      </c>
    </row>
    <row r="12" spans="1:1" ht="15">
      <c r="A12" s="534" t="s">
        <v>4665</v>
      </c>
    </row>
    <row r="13" spans="1:1" ht="15">
      <c r="A13" s="534" t="s">
        <v>4666</v>
      </c>
    </row>
    <row r="14" spans="1:1" ht="15">
      <c r="A14" s="534" t="s">
        <v>4667</v>
      </c>
    </row>
    <row r="15" spans="1:1" ht="15">
      <c r="A15" s="534" t="s">
        <v>4668</v>
      </c>
    </row>
    <row r="16" spans="1:1" ht="15">
      <c r="A16" s="534" t="s">
        <v>4669</v>
      </c>
    </row>
    <row r="17" spans="1:1" ht="15">
      <c r="A17" s="534" t="s">
        <v>4670</v>
      </c>
    </row>
    <row r="18" spans="1:1" ht="15">
      <c r="A18" s="534" t="s">
        <v>4671</v>
      </c>
    </row>
    <row r="19" spans="1:1" ht="15">
      <c r="A19" s="534" t="s">
        <v>4672</v>
      </c>
    </row>
    <row r="20" spans="1:1" ht="15">
      <c r="A20" s="534" t="s">
        <v>4673</v>
      </c>
    </row>
    <row r="21" spans="1:1" ht="15">
      <c r="A21" s="534" t="s">
        <v>4674</v>
      </c>
    </row>
    <row r="22" spans="1:1" ht="15">
      <c r="A22" s="534" t="s">
        <v>4675</v>
      </c>
    </row>
  </sheetData>
  <pageMargins left="0.7" right="0.7" top="0.78740157499999996" bottom="0.78740157499999996"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2:BH986"/>
  <sheetViews>
    <sheetView topLeftCell="F50" zoomScale="85" zoomScaleNormal="85" workbookViewId="0">
      <selection activeCell="F68" sqref="F68"/>
    </sheetView>
  </sheetViews>
  <sheetFormatPr defaultColWidth="9.140625" defaultRowHeight="12.75"/>
  <cols>
    <col min="1" max="1" width="36.5703125" style="10" bestFit="1" customWidth="1"/>
    <col min="2" max="2" width="34" style="10" customWidth="1"/>
    <col min="3" max="3" width="29.42578125" style="10" customWidth="1"/>
    <col min="4" max="4" width="9.7109375" style="10" customWidth="1"/>
    <col min="5" max="5" width="30.5703125" style="10" bestFit="1" customWidth="1"/>
    <col min="6" max="7" width="51.140625" style="10" bestFit="1" customWidth="1"/>
    <col min="8" max="8" width="29.42578125" style="10" customWidth="1"/>
    <col min="9" max="9" width="23.7109375" style="10" bestFit="1" customWidth="1"/>
    <col min="10" max="10" width="23.140625" style="10" bestFit="1" customWidth="1"/>
    <col min="11" max="11" width="47.85546875" style="10" bestFit="1" customWidth="1"/>
    <col min="12" max="12" width="22.140625" style="10" bestFit="1" customWidth="1"/>
    <col min="13" max="13" width="11.28515625" style="10" bestFit="1" customWidth="1"/>
    <col min="14" max="14" width="22" style="10" bestFit="1" customWidth="1"/>
    <col min="15" max="15" width="22" style="10" customWidth="1"/>
    <col min="16" max="16" width="12.85546875" style="10" bestFit="1" customWidth="1"/>
    <col min="17" max="17" width="7.140625" style="10" bestFit="1" customWidth="1"/>
    <col min="18" max="18" width="6.7109375" style="10" bestFit="1" customWidth="1"/>
    <col min="19" max="19" width="22.85546875" style="10" bestFit="1" customWidth="1"/>
    <col min="20" max="20" width="18.28515625" style="10" bestFit="1" customWidth="1"/>
    <col min="21" max="21" width="16" style="10" bestFit="1" customWidth="1"/>
    <col min="22" max="22" width="25.42578125" style="10" customWidth="1"/>
    <col min="23" max="23" width="18.42578125" style="10" bestFit="1" customWidth="1"/>
    <col min="24" max="24" width="14.140625" style="10" bestFit="1" customWidth="1"/>
    <col min="25" max="25" width="14.140625" style="10" customWidth="1"/>
    <col min="26" max="26" width="7" style="10" customWidth="1"/>
    <col min="27" max="27" width="45.7109375" style="10" bestFit="1" customWidth="1"/>
    <col min="28" max="28" width="45.42578125" style="10" bestFit="1" customWidth="1"/>
    <col min="29" max="30" width="17.140625" style="10" bestFit="1" customWidth="1"/>
    <col min="31" max="31" width="20.140625" style="10" bestFit="1" customWidth="1"/>
    <col min="32" max="32" width="23.140625" style="10" bestFit="1" customWidth="1"/>
    <col min="33" max="33" width="17.5703125" style="10" bestFit="1" customWidth="1"/>
    <col min="34" max="34" width="23.140625" style="10" bestFit="1" customWidth="1"/>
    <col min="35" max="35" width="35.85546875" style="10" bestFit="1" customWidth="1"/>
    <col min="36" max="36" width="19.5703125" style="10" customWidth="1"/>
    <col min="37" max="37" width="18.28515625" style="10" customWidth="1"/>
    <col min="38" max="38" width="23" style="10" customWidth="1"/>
    <col min="39" max="39" width="24.42578125" style="10" customWidth="1"/>
    <col min="40" max="40" width="15.28515625" style="10" bestFit="1" customWidth="1"/>
    <col min="41" max="41" width="14.42578125" style="10" bestFit="1" customWidth="1"/>
    <col min="42" max="16384" width="9.140625" style="10"/>
  </cols>
  <sheetData>
    <row r="2" spans="1:60">
      <c r="BG2"/>
      <c r="BH2"/>
    </row>
    <row r="3" spans="1:60">
      <c r="D3" s="10">
        <v>1</v>
      </c>
      <c r="E3" s="10">
        <v>2</v>
      </c>
      <c r="F3" s="10">
        <v>3</v>
      </c>
      <c r="G3" s="10">
        <v>4</v>
      </c>
      <c r="H3" s="10">
        <v>5</v>
      </c>
      <c r="I3" s="10">
        <v>6</v>
      </c>
      <c r="J3" s="10">
        <v>7</v>
      </c>
      <c r="K3" s="10">
        <v>8</v>
      </c>
      <c r="L3" s="10">
        <v>9</v>
      </c>
      <c r="M3" s="10">
        <v>10</v>
      </c>
      <c r="N3" s="10">
        <v>11</v>
      </c>
      <c r="O3" s="10">
        <v>12</v>
      </c>
      <c r="P3" s="10">
        <v>13</v>
      </c>
      <c r="Q3" s="10">
        <v>14</v>
      </c>
      <c r="R3" s="10">
        <v>15</v>
      </c>
      <c r="S3" s="10">
        <v>16</v>
      </c>
      <c r="T3" s="10">
        <v>17</v>
      </c>
      <c r="U3" s="10">
        <v>18</v>
      </c>
      <c r="V3" s="10">
        <v>19</v>
      </c>
      <c r="W3" s="10">
        <v>20</v>
      </c>
      <c r="X3" s="10">
        <v>21</v>
      </c>
      <c r="Y3" s="10">
        <v>22</v>
      </c>
      <c r="Z3" s="10">
        <v>23</v>
      </c>
      <c r="AA3" s="10">
        <v>24</v>
      </c>
      <c r="AB3" s="10">
        <v>25</v>
      </c>
      <c r="AC3" s="10">
        <v>26</v>
      </c>
      <c r="AD3" s="10">
        <v>27</v>
      </c>
      <c r="AE3" s="10">
        <v>28</v>
      </c>
      <c r="AF3" s="10">
        <v>29</v>
      </c>
      <c r="AG3" s="10">
        <v>30</v>
      </c>
      <c r="AH3" s="10">
        <v>31</v>
      </c>
      <c r="AI3" s="10">
        <v>32</v>
      </c>
      <c r="AJ3" s="10">
        <v>33</v>
      </c>
      <c r="AK3" s="10">
        <v>34</v>
      </c>
      <c r="AL3" s="10">
        <v>35</v>
      </c>
      <c r="AM3" s="10">
        <v>36</v>
      </c>
      <c r="AN3" s="10">
        <v>37</v>
      </c>
      <c r="AO3" s="10">
        <v>38</v>
      </c>
      <c r="AP3" s="10">
        <v>39</v>
      </c>
      <c r="AQ3" s="10">
        <v>40</v>
      </c>
      <c r="AR3" s="10">
        <v>41</v>
      </c>
      <c r="AS3" s="10">
        <v>42</v>
      </c>
      <c r="AT3" s="10">
        <v>43</v>
      </c>
      <c r="AU3" s="10">
        <v>44</v>
      </c>
      <c r="AV3" s="10">
        <v>45</v>
      </c>
      <c r="AW3" s="10">
        <v>46</v>
      </c>
      <c r="AX3" s="10">
        <v>47</v>
      </c>
      <c r="AY3" s="10">
        <v>48</v>
      </c>
      <c r="AZ3" s="10">
        <v>49</v>
      </c>
      <c r="BA3" s="10">
        <v>50</v>
      </c>
      <c r="BB3" s="10">
        <v>51</v>
      </c>
      <c r="BC3" s="10">
        <v>52</v>
      </c>
      <c r="BD3" s="10">
        <v>53</v>
      </c>
      <c r="BE3" s="10">
        <v>54</v>
      </c>
      <c r="BF3" s="10">
        <v>55</v>
      </c>
      <c r="BG3" s="10">
        <v>56</v>
      </c>
      <c r="BH3"/>
    </row>
    <row r="4" spans="1:60" ht="13.5" thickBot="1">
      <c r="B4" s="3" t="s">
        <v>1179</v>
      </c>
      <c r="D4" s="10">
        <f t="shared" ref="D4:BF4" si="0">+COUNTIF(D6:D29,"&lt;&gt;" )</f>
        <v>12</v>
      </c>
      <c r="E4" s="10">
        <f t="shared" si="0"/>
        <v>13</v>
      </c>
      <c r="F4" s="10">
        <f t="shared" si="0"/>
        <v>7</v>
      </c>
      <c r="G4" s="10">
        <f t="shared" si="0"/>
        <v>5</v>
      </c>
      <c r="H4" s="10">
        <f t="shared" si="0"/>
        <v>10</v>
      </c>
      <c r="I4" s="10">
        <f t="shared" si="0"/>
        <v>18</v>
      </c>
      <c r="J4" s="10">
        <f t="shared" si="0"/>
        <v>20</v>
      </c>
      <c r="K4" s="10">
        <f t="shared" si="0"/>
        <v>14</v>
      </c>
      <c r="L4" s="10">
        <f t="shared" si="0"/>
        <v>24</v>
      </c>
      <c r="M4" s="10">
        <f t="shared" si="0"/>
        <v>24</v>
      </c>
      <c r="N4" s="10">
        <f t="shared" si="0"/>
        <v>24</v>
      </c>
      <c r="O4" s="10">
        <f t="shared" si="0"/>
        <v>5</v>
      </c>
      <c r="P4" s="10">
        <f t="shared" si="0"/>
        <v>13</v>
      </c>
      <c r="Q4" s="10">
        <f t="shared" si="0"/>
        <v>15</v>
      </c>
      <c r="R4" s="10">
        <f t="shared" si="0"/>
        <v>20</v>
      </c>
      <c r="S4" s="10">
        <f t="shared" si="0"/>
        <v>13</v>
      </c>
      <c r="T4" s="10">
        <f t="shared" si="0"/>
        <v>23</v>
      </c>
      <c r="U4" s="10">
        <f t="shared" si="0"/>
        <v>21</v>
      </c>
      <c r="V4" s="10">
        <f t="shared" si="0"/>
        <v>14</v>
      </c>
      <c r="W4" s="10">
        <f t="shared" si="0"/>
        <v>12</v>
      </c>
      <c r="X4" s="10">
        <f t="shared" si="0"/>
        <v>16</v>
      </c>
      <c r="Y4" s="10">
        <f t="shared" si="0"/>
        <v>19</v>
      </c>
      <c r="Z4" s="10">
        <f t="shared" si="0"/>
        <v>1</v>
      </c>
      <c r="AA4" s="10">
        <f t="shared" si="0"/>
        <v>18</v>
      </c>
      <c r="AB4" s="10">
        <f t="shared" si="0"/>
        <v>7</v>
      </c>
      <c r="AC4" s="10">
        <f t="shared" si="0"/>
        <v>21</v>
      </c>
      <c r="AD4" s="10">
        <f t="shared" si="0"/>
        <v>6</v>
      </c>
      <c r="AE4" s="10">
        <f t="shared" si="0"/>
        <v>12</v>
      </c>
      <c r="AF4" s="10">
        <f t="shared" si="0"/>
        <v>4</v>
      </c>
      <c r="AG4" s="10">
        <f t="shared" si="0"/>
        <v>12</v>
      </c>
      <c r="AH4" s="10">
        <f t="shared" si="0"/>
        <v>24</v>
      </c>
      <c r="AI4" s="10">
        <f t="shared" si="0"/>
        <v>24</v>
      </c>
      <c r="AJ4" s="10">
        <f t="shared" si="0"/>
        <v>6</v>
      </c>
      <c r="AK4" s="10">
        <f t="shared" si="0"/>
        <v>6</v>
      </c>
      <c r="AL4" s="10">
        <f t="shared" si="0"/>
        <v>6</v>
      </c>
      <c r="AM4" s="10">
        <f t="shared" si="0"/>
        <v>6</v>
      </c>
      <c r="AN4" s="10">
        <f t="shared" si="0"/>
        <v>4</v>
      </c>
      <c r="AO4" s="10">
        <f t="shared" si="0"/>
        <v>4</v>
      </c>
      <c r="AP4" s="10">
        <f t="shared" si="0"/>
        <v>4</v>
      </c>
      <c r="AQ4" s="10">
        <f t="shared" si="0"/>
        <v>4</v>
      </c>
      <c r="AR4" s="10">
        <f t="shared" si="0"/>
        <v>4</v>
      </c>
      <c r="AS4" s="10">
        <f t="shared" si="0"/>
        <v>4</v>
      </c>
      <c r="AT4" s="10">
        <f t="shared" si="0"/>
        <v>4</v>
      </c>
      <c r="AU4" s="10">
        <f t="shared" si="0"/>
        <v>4</v>
      </c>
      <c r="AV4" s="10">
        <f t="shared" si="0"/>
        <v>4</v>
      </c>
      <c r="AW4" s="10">
        <f t="shared" si="0"/>
        <v>4</v>
      </c>
      <c r="AX4" s="10">
        <f t="shared" si="0"/>
        <v>4</v>
      </c>
      <c r="AY4" s="10">
        <f t="shared" si="0"/>
        <v>4</v>
      </c>
      <c r="AZ4" s="10">
        <f t="shared" si="0"/>
        <v>4</v>
      </c>
      <c r="BA4" s="10">
        <f t="shared" si="0"/>
        <v>4</v>
      </c>
      <c r="BB4" s="10">
        <f t="shared" si="0"/>
        <v>4</v>
      </c>
      <c r="BC4" s="10">
        <f t="shared" si="0"/>
        <v>4</v>
      </c>
      <c r="BD4" s="10">
        <f t="shared" si="0"/>
        <v>4</v>
      </c>
      <c r="BE4" s="10">
        <f t="shared" si="0"/>
        <v>4</v>
      </c>
      <c r="BF4" s="10">
        <f t="shared" si="0"/>
        <v>4</v>
      </c>
      <c r="BG4" s="10">
        <f>+COUNTIF(BG6:BG29,"&lt;&gt;" )</f>
        <v>1</v>
      </c>
      <c r="BH4"/>
    </row>
    <row r="5" spans="1:60" ht="13.5" thickBot="1">
      <c r="A5" s="3" t="s">
        <v>1180</v>
      </c>
      <c r="B5" s="10" t="s">
        <v>32</v>
      </c>
      <c r="D5" s="201" t="e">
        <f>INDEX(Language!$D$6:$K$1231,1111,#REF!)</f>
        <v>#REF!</v>
      </c>
      <c r="E5" s="202" t="e">
        <f>INDEX(Language!$D$6:$K$1231,1112,#REF!)</f>
        <v>#REF!</v>
      </c>
      <c r="F5" s="202" t="e">
        <f>INDEX(Language!$D$6:$K$1231,1113,#REF!)</f>
        <v>#REF!</v>
      </c>
      <c r="G5" s="202" t="e">
        <f>INDEX(Language!$D$6:$K$1231,1114,#REF!)</f>
        <v>#REF!</v>
      </c>
      <c r="H5" s="202" t="e">
        <f>INDEX(Language!$D$6:$K$1231,1115,#REF!)</f>
        <v>#REF!</v>
      </c>
      <c r="I5" s="202" t="e">
        <f>INDEX(Language!$D$6:$K$1231,1116,#REF!)</f>
        <v>#REF!</v>
      </c>
      <c r="J5" s="202" t="e">
        <f>INDEX(Language!$D$6:$K$1231,1117,#REF!)</f>
        <v>#REF!</v>
      </c>
      <c r="K5" s="202" t="e">
        <f>INDEX(Language!$D$6:$K$1231,1118,#REF!)</f>
        <v>#REF!</v>
      </c>
      <c r="L5" s="202" t="e">
        <f>INDEX(Language!$D$6:$K$1231,1119,#REF!)</f>
        <v>#REF!</v>
      </c>
      <c r="M5" s="202" t="e">
        <f>INDEX(Language!$D$6:$K$1231,1120,#REF!)</f>
        <v>#REF!</v>
      </c>
      <c r="N5" s="202" t="e">
        <f>INDEX(Language!$D$6:$K$1231,1121,#REF!)</f>
        <v>#REF!</v>
      </c>
      <c r="O5" s="202" t="e">
        <f>INDEX(Language!$D$6:$K$1231,1122,#REF!)</f>
        <v>#REF!</v>
      </c>
      <c r="P5" s="202" t="e">
        <f>INDEX(Language!$D$6:$K$1231,1123,#REF!)</f>
        <v>#REF!</v>
      </c>
      <c r="Q5" s="202" t="e">
        <f>INDEX(Language!$D$6:$K$1231,1124,#REF!)</f>
        <v>#REF!</v>
      </c>
      <c r="R5" s="202" t="e">
        <f>INDEX(Language!$D$6:$K$1231,1125,#REF!)</f>
        <v>#REF!</v>
      </c>
      <c r="S5" s="202" t="e">
        <f>INDEX(Language!$D$6:$K$1231,1126,#REF!)</f>
        <v>#REF!</v>
      </c>
      <c r="T5" s="202" t="e">
        <f>INDEX(Language!$D$6:$K$1231,1127,#REF!)</f>
        <v>#REF!</v>
      </c>
      <c r="U5" s="202" t="e">
        <f>INDEX(Language!$D$6:$K$1231,1128,#REF!)</f>
        <v>#REF!</v>
      </c>
      <c r="V5" s="202" t="e">
        <f>INDEX(Language!$D$6:$K$1231,1129,#REF!)</f>
        <v>#REF!</v>
      </c>
      <c r="W5" s="202" t="e">
        <f>INDEX(Language!$D$6:$K$1231,1130,#REF!)</f>
        <v>#REF!</v>
      </c>
      <c r="X5" s="202" t="e">
        <f>INDEX(Language!$D$6:$K$1231,1131,#REF!)</f>
        <v>#REF!</v>
      </c>
      <c r="Y5" s="202" t="e">
        <f>INDEX(Language!$D$6:$K$1231,1132,#REF!)</f>
        <v>#REF!</v>
      </c>
      <c r="Z5" s="271" t="e">
        <f>INDEX(Language!$D$6:$K$1231,1133,#REF!)</f>
        <v>#REF!</v>
      </c>
      <c r="AA5" s="203" t="e">
        <f>INDEX(Language!$D$6:$K$1231,1134,#REF!)</f>
        <v>#REF!</v>
      </c>
      <c r="AB5" s="203" t="s">
        <v>323</v>
      </c>
      <c r="AC5" s="203" t="s">
        <v>1181</v>
      </c>
      <c r="AD5" s="203" t="s">
        <v>325</v>
      </c>
      <c r="AE5" s="203" t="e">
        <f>INDEX(Language!$D$6:$K$2227,1731,#REF!)</f>
        <v>#REF!</v>
      </c>
      <c r="AF5" s="203" t="e">
        <f>INDEX(Language!$D$6:$K$2227,1727,#REF!)</f>
        <v>#REF!</v>
      </c>
      <c r="AG5" s="203" t="e">
        <f>INDEX(Language!$D$6:$K$2227,1729,#REF!)</f>
        <v>#REF!</v>
      </c>
      <c r="AH5" s="203" t="e">
        <f>INDEX(Language!$D$6:$K$2227,1730,#REF!)</f>
        <v>#REF!</v>
      </c>
      <c r="AI5" s="203" t="e">
        <f>INDEX(Language!$D$6:$K$2227,1733,#REF!)</f>
        <v>#REF!</v>
      </c>
      <c r="AJ5" s="203" t="e">
        <f>INDEX(Language!$D$6:$K$2227,1728,#REF!)</f>
        <v>#REF!</v>
      </c>
      <c r="AK5" s="203" t="e">
        <f>INDEX(Language!$D$6:$K$2227,1734,#REF!)</f>
        <v>#REF!</v>
      </c>
      <c r="AL5" s="203" t="e">
        <f>INDEX(Language!$D$6:$K$2227,1735,#REF!)</f>
        <v>#REF!</v>
      </c>
      <c r="AM5" s="203" t="e">
        <f>INDEX(Language!$D$6:$K$2227,1736,#REF!)</f>
        <v>#REF!</v>
      </c>
      <c r="AN5" s="203" t="e">
        <f>INDEX(Language!$D$6:$K$2229,1737,#REF!)</f>
        <v>#REF!</v>
      </c>
      <c r="AO5" s="203" t="e">
        <f>INDEX(Language!$D$6:$K$2229,1738,#REF!)</f>
        <v>#REF!</v>
      </c>
      <c r="AP5" s="203" t="e">
        <f>INDEX(Language!$D$6:$K$2229,1739,#REF!)</f>
        <v>#REF!</v>
      </c>
      <c r="AQ5" s="203" t="e">
        <f>INDEX(Language!$D$6:$K$2229,1740,#REF!)</f>
        <v>#REF!</v>
      </c>
      <c r="AR5" s="203" t="e">
        <f>INDEX(Language!$D$6:$K$2229,1741,#REF!)</f>
        <v>#REF!</v>
      </c>
      <c r="AS5" s="203" t="e">
        <f>INDEX(Language!$D$6:$K$2229,1742,#REF!)</f>
        <v>#REF!</v>
      </c>
      <c r="AT5" s="203" t="e">
        <f>INDEX(Language!$D$6:$K$2229,1743,#REF!)</f>
        <v>#REF!</v>
      </c>
      <c r="AU5" s="203" t="e">
        <f>INDEX(Language!$D$6:$K$2229,1744,#REF!)</f>
        <v>#REF!</v>
      </c>
      <c r="AV5" s="203" t="e">
        <f>INDEX(Language!$D$6:$K$2229,1745,#REF!)</f>
        <v>#REF!</v>
      </c>
      <c r="AW5" s="203" t="e">
        <f>INDEX(Language!$D$6:$K$2229,1746,#REF!)</f>
        <v>#REF!</v>
      </c>
      <c r="AX5" s="203" t="e">
        <f>INDEX(Language!$D$6:$K$2229,1747,#REF!)</f>
        <v>#REF!</v>
      </c>
      <c r="AY5" s="203" t="e">
        <f>INDEX(Language!$D$6:$K$2229,1748,#REF!)</f>
        <v>#REF!</v>
      </c>
      <c r="AZ5" s="203" t="e">
        <f>INDEX(Language!$D$6:$K$2229,1749,#REF!)</f>
        <v>#REF!</v>
      </c>
      <c r="BA5" s="203" t="e">
        <f>INDEX(Language!$D$6:$K$2229,1750,#REF!)</f>
        <v>#REF!</v>
      </c>
      <c r="BB5" s="203" t="e">
        <f>INDEX(Language!$D$6:$K$2229,1751,#REF!)</f>
        <v>#REF!</v>
      </c>
      <c r="BC5" s="203" t="e">
        <f>INDEX(Language!$D$6:$K$2229,1752,#REF!)</f>
        <v>#REF!</v>
      </c>
      <c r="BD5" s="203" t="e">
        <f>INDEX(Language!$D$6:$K$2229,1753,#REF!)</f>
        <v>#REF!</v>
      </c>
      <c r="BE5" s="203" t="e">
        <f>INDEX(Language!$D$6:$K$2229,1754,#REF!)</f>
        <v>#REF!</v>
      </c>
      <c r="BF5" s="203" t="e">
        <f>INDEX(Language!$D$6:$K$2229,1755,#REF!)</f>
        <v>#REF!</v>
      </c>
      <c r="BG5" s="203" t="e">
        <f>INDEX(Language!$D$6:$K$2229,1732,#REF!)</f>
        <v>#REF!</v>
      </c>
      <c r="BH5"/>
    </row>
    <row r="6" spans="1:60">
      <c r="A6" s="10" t="e">
        <f>INDEX(Language!$D$6:$K$1231,1111,#REF!)</f>
        <v>#REF!</v>
      </c>
      <c r="B6" s="10" t="s">
        <v>223</v>
      </c>
      <c r="C6" s="10">
        <v>1</v>
      </c>
      <c r="D6" s="199" t="s">
        <v>1182</v>
      </c>
      <c r="E6" s="200" t="s">
        <v>663</v>
      </c>
      <c r="F6" s="200" t="s">
        <v>1183</v>
      </c>
      <c r="G6" s="200" t="s">
        <v>317</v>
      </c>
      <c r="H6" s="193" t="s">
        <v>1184</v>
      </c>
      <c r="I6" s="200" t="s">
        <v>1185</v>
      </c>
      <c r="J6" s="200" t="s">
        <v>1186</v>
      </c>
      <c r="K6" s="200" t="s">
        <v>1187</v>
      </c>
      <c r="L6" s="200" t="s">
        <v>1188</v>
      </c>
      <c r="M6" s="200" t="s">
        <v>1189</v>
      </c>
      <c r="N6" s="200" t="s">
        <v>1190</v>
      </c>
      <c r="O6" s="200" t="s">
        <v>319</v>
      </c>
      <c r="P6" s="200" t="s">
        <v>1191</v>
      </c>
      <c r="Q6" s="200" t="s">
        <v>1192</v>
      </c>
      <c r="R6" s="200" t="s">
        <v>1193</v>
      </c>
      <c r="S6" s="200" t="s">
        <v>1194</v>
      </c>
      <c r="T6" s="200" t="s">
        <v>1195</v>
      </c>
      <c r="U6" s="200" t="s">
        <v>1196</v>
      </c>
      <c r="V6" s="200" t="s">
        <v>1197</v>
      </c>
      <c r="W6" s="200" t="s">
        <v>1198</v>
      </c>
      <c r="X6" s="200" t="s">
        <v>1199</v>
      </c>
      <c r="Y6" s="200" t="s">
        <v>1200</v>
      </c>
      <c r="Z6" s="272" t="e">
        <f>Z5</f>
        <v>#REF!</v>
      </c>
      <c r="AA6" s="195" t="s">
        <v>1201</v>
      </c>
      <c r="AB6" s="319" t="s">
        <v>1202</v>
      </c>
      <c r="AC6" s="275" t="s">
        <v>1203</v>
      </c>
      <c r="AD6" s="275" t="s">
        <v>1204</v>
      </c>
      <c r="AE6" s="275" t="s">
        <v>1205</v>
      </c>
      <c r="AF6" s="275" t="s">
        <v>587</v>
      </c>
      <c r="AG6" s="275" t="s">
        <v>1206</v>
      </c>
      <c r="AH6" s="275" t="s">
        <v>1207</v>
      </c>
      <c r="AI6" s="275" t="s">
        <v>1208</v>
      </c>
      <c r="AJ6" s="275" t="s">
        <v>1209</v>
      </c>
      <c r="AK6" s="275" t="s">
        <v>1210</v>
      </c>
      <c r="AL6" s="275" t="s">
        <v>1211</v>
      </c>
      <c r="AM6" s="275" t="s">
        <v>1212</v>
      </c>
      <c r="AN6" s="275" t="e">
        <f>AN5</f>
        <v>#REF!</v>
      </c>
      <c r="AO6" s="275" t="e">
        <f>AO5</f>
        <v>#REF!</v>
      </c>
      <c r="AP6" s="275" t="e">
        <f t="shared" ref="AP6:AX6" si="1">AP5</f>
        <v>#REF!</v>
      </c>
      <c r="AQ6" s="275" t="e">
        <f t="shared" si="1"/>
        <v>#REF!</v>
      </c>
      <c r="AR6" s="275" t="e">
        <f t="shared" si="1"/>
        <v>#REF!</v>
      </c>
      <c r="AS6" s="275" t="e">
        <f t="shared" si="1"/>
        <v>#REF!</v>
      </c>
      <c r="AT6" s="275" t="e">
        <f t="shared" si="1"/>
        <v>#REF!</v>
      </c>
      <c r="AU6" s="275" t="e">
        <f t="shared" si="1"/>
        <v>#REF!</v>
      </c>
      <c r="AV6" s="275" t="e">
        <f t="shared" si="1"/>
        <v>#REF!</v>
      </c>
      <c r="AW6" s="275" t="e">
        <f t="shared" si="1"/>
        <v>#REF!</v>
      </c>
      <c r="AX6" s="275" t="e">
        <f t="shared" si="1"/>
        <v>#REF!</v>
      </c>
      <c r="AY6" s="275" t="e">
        <f t="shared" ref="AY6:BG6" si="2">AY5</f>
        <v>#REF!</v>
      </c>
      <c r="AZ6" s="275" t="e">
        <f t="shared" si="2"/>
        <v>#REF!</v>
      </c>
      <c r="BA6" s="275" t="e">
        <f t="shared" si="2"/>
        <v>#REF!</v>
      </c>
      <c r="BB6" s="275" t="e">
        <f t="shared" si="2"/>
        <v>#REF!</v>
      </c>
      <c r="BC6" s="275" t="e">
        <f t="shared" si="2"/>
        <v>#REF!</v>
      </c>
      <c r="BD6" s="275" t="e">
        <f t="shared" si="2"/>
        <v>#REF!</v>
      </c>
      <c r="BE6" s="275" t="e">
        <f t="shared" si="2"/>
        <v>#REF!</v>
      </c>
      <c r="BF6" s="275" t="e">
        <f t="shared" si="2"/>
        <v>#REF!</v>
      </c>
      <c r="BG6" s="275" t="e">
        <f t="shared" si="2"/>
        <v>#REF!</v>
      </c>
      <c r="BH6"/>
    </row>
    <row r="7" spans="1:60">
      <c r="A7" s="10" t="e">
        <f>INDEX(Language!$D$6:$K$1231,1112,#REF!)</f>
        <v>#REF!</v>
      </c>
      <c r="B7" s="10" t="s">
        <v>207</v>
      </c>
      <c r="C7" s="10">
        <v>2</v>
      </c>
      <c r="D7" s="194" t="s">
        <v>1213</v>
      </c>
      <c r="E7" s="193" t="s">
        <v>665</v>
      </c>
      <c r="F7" s="193" t="s">
        <v>1214</v>
      </c>
      <c r="G7" s="193" t="e">
        <f>"No data"&amp;"_"&amp;G$5</f>
        <v>#REF!</v>
      </c>
      <c r="H7" s="193" t="s">
        <v>1215</v>
      </c>
      <c r="I7" s="193" t="s">
        <v>1216</v>
      </c>
      <c r="J7" s="193" t="s">
        <v>1217</v>
      </c>
      <c r="K7" s="193" t="s">
        <v>1218</v>
      </c>
      <c r="L7" s="193" t="s">
        <v>1219</v>
      </c>
      <c r="M7" s="193" t="s">
        <v>1220</v>
      </c>
      <c r="N7" s="193" t="s">
        <v>1221</v>
      </c>
      <c r="O7" s="193" t="e">
        <f>"No data"&amp;"_"&amp;O$5</f>
        <v>#REF!</v>
      </c>
      <c r="P7" s="193" t="s">
        <v>1222</v>
      </c>
      <c r="Q7" s="193" t="s">
        <v>1223</v>
      </c>
      <c r="R7" s="193" t="s">
        <v>1224</v>
      </c>
      <c r="S7" s="193" t="s">
        <v>1225</v>
      </c>
      <c r="T7" s="193" t="s">
        <v>1226</v>
      </c>
      <c r="U7" s="193" t="s">
        <v>1227</v>
      </c>
      <c r="V7" s="193" t="s">
        <v>1228</v>
      </c>
      <c r="W7" s="193" t="s">
        <v>1229</v>
      </c>
      <c r="X7" s="193" t="s">
        <v>1230</v>
      </c>
      <c r="Y7" s="193" t="s">
        <v>1231</v>
      </c>
      <c r="Z7" s="272"/>
      <c r="AA7" s="195" t="s">
        <v>1232</v>
      </c>
      <c r="AB7" s="319" t="s">
        <v>1233</v>
      </c>
      <c r="AC7" s="275" t="s">
        <v>1234</v>
      </c>
      <c r="AD7" s="275" t="s">
        <v>1235</v>
      </c>
      <c r="AE7" s="275" t="s">
        <v>1236</v>
      </c>
      <c r="AF7" s="275" t="e">
        <f>"No data"&amp;"_"&amp;AF$5</f>
        <v>#REF!</v>
      </c>
      <c r="AG7" s="275" t="s">
        <v>1237</v>
      </c>
      <c r="AH7" s="275" t="s">
        <v>1238</v>
      </c>
      <c r="AI7" s="275" t="s">
        <v>1239</v>
      </c>
      <c r="AJ7" s="275" t="s">
        <v>1240</v>
      </c>
      <c r="AK7" s="275" t="s">
        <v>1241</v>
      </c>
      <c r="AL7" s="275" t="s">
        <v>1242</v>
      </c>
      <c r="AM7" s="275" t="s">
        <v>1243</v>
      </c>
      <c r="AN7" s="275" t="e">
        <f>"No data_"&amp;AN5</f>
        <v>#REF!</v>
      </c>
      <c r="AO7" s="275" t="e">
        <f>"No data_"&amp;AO5</f>
        <v>#REF!</v>
      </c>
      <c r="AP7" s="275" t="e">
        <f t="shared" ref="AP7:AX7" si="3">"No data_"&amp;AP5</f>
        <v>#REF!</v>
      </c>
      <c r="AQ7" s="275" t="e">
        <f t="shared" si="3"/>
        <v>#REF!</v>
      </c>
      <c r="AR7" s="275" t="e">
        <f t="shared" si="3"/>
        <v>#REF!</v>
      </c>
      <c r="AS7" s="275" t="e">
        <f t="shared" si="3"/>
        <v>#REF!</v>
      </c>
      <c r="AT7" s="275" t="e">
        <f t="shared" si="3"/>
        <v>#REF!</v>
      </c>
      <c r="AU7" s="275" t="e">
        <f t="shared" si="3"/>
        <v>#REF!</v>
      </c>
      <c r="AV7" s="275" t="e">
        <f t="shared" si="3"/>
        <v>#REF!</v>
      </c>
      <c r="AW7" s="275" t="e">
        <f t="shared" si="3"/>
        <v>#REF!</v>
      </c>
      <c r="AX7" s="275" t="e">
        <f t="shared" si="3"/>
        <v>#REF!</v>
      </c>
      <c r="AY7" s="275" t="e">
        <f t="shared" ref="AY7:BF7" si="4">"No data_"&amp;AY5</f>
        <v>#REF!</v>
      </c>
      <c r="AZ7" s="275" t="e">
        <f t="shared" si="4"/>
        <v>#REF!</v>
      </c>
      <c r="BA7" s="275" t="e">
        <f t="shared" si="4"/>
        <v>#REF!</v>
      </c>
      <c r="BB7" s="275" t="e">
        <f t="shared" si="4"/>
        <v>#REF!</v>
      </c>
      <c r="BC7" s="275" t="e">
        <f t="shared" si="4"/>
        <v>#REF!</v>
      </c>
      <c r="BD7" s="275" t="e">
        <f t="shared" si="4"/>
        <v>#REF!</v>
      </c>
      <c r="BE7" s="275" t="e">
        <f t="shared" si="4"/>
        <v>#REF!</v>
      </c>
      <c r="BF7" s="275" t="e">
        <f t="shared" si="4"/>
        <v>#REF!</v>
      </c>
      <c r="BG7" s="275"/>
      <c r="BH7"/>
    </row>
    <row r="8" spans="1:60">
      <c r="A8" s="10" t="e">
        <f>INDEX(Language!$D$6:$K$1231,1113,#REF!)</f>
        <v>#REF!</v>
      </c>
      <c r="B8" s="10" t="s">
        <v>195</v>
      </c>
      <c r="C8" s="10">
        <v>3</v>
      </c>
      <c r="D8" s="194" t="s">
        <v>1244</v>
      </c>
      <c r="E8" s="193" t="s">
        <v>667</v>
      </c>
      <c r="F8" s="193" t="s">
        <v>1245</v>
      </c>
      <c r="G8" s="193" t="s">
        <v>1246</v>
      </c>
      <c r="H8" s="193" t="s">
        <v>1247</v>
      </c>
      <c r="I8" s="193" t="s">
        <v>1248</v>
      </c>
      <c r="J8" s="212" t="s">
        <v>1249</v>
      </c>
      <c r="K8" s="193" t="s">
        <v>1250</v>
      </c>
      <c r="L8" s="193" t="s">
        <v>1251</v>
      </c>
      <c r="M8" s="193" t="s">
        <v>1252</v>
      </c>
      <c r="N8" s="193" t="s">
        <v>1253</v>
      </c>
      <c r="O8" s="193" t="s">
        <v>1246</v>
      </c>
      <c r="P8" s="193" t="s">
        <v>1254</v>
      </c>
      <c r="Q8" s="193" t="s">
        <v>1255</v>
      </c>
      <c r="R8" s="212" t="s">
        <v>1256</v>
      </c>
      <c r="S8" s="193" t="s">
        <v>1257</v>
      </c>
      <c r="T8" s="193" t="s">
        <v>1258</v>
      </c>
      <c r="U8" s="193" t="s">
        <v>1259</v>
      </c>
      <c r="V8" s="193" t="s">
        <v>1260</v>
      </c>
      <c r="W8" s="193" t="s">
        <v>1261</v>
      </c>
      <c r="X8" s="193" t="s">
        <v>1262</v>
      </c>
      <c r="Y8" s="193" t="s">
        <v>1263</v>
      </c>
      <c r="Z8" s="272"/>
      <c r="AA8" s="195" t="s">
        <v>1264</v>
      </c>
      <c r="AB8" s="319" t="s">
        <v>1265</v>
      </c>
      <c r="AC8" s="275" t="s">
        <v>1266</v>
      </c>
      <c r="AD8" s="275" t="str">
        <f>"No data"&amp;"_"&amp;AD$5</f>
        <v>No data_Singapore</v>
      </c>
      <c r="AE8" s="275" t="s">
        <v>1267</v>
      </c>
      <c r="AF8" s="275" t="s">
        <v>1246</v>
      </c>
      <c r="AG8" s="275" t="s">
        <v>1268</v>
      </c>
      <c r="AH8" s="275" t="s">
        <v>1269</v>
      </c>
      <c r="AI8" s="275" t="s">
        <v>1270</v>
      </c>
      <c r="AJ8" s="275" t="s">
        <v>615</v>
      </c>
      <c r="AK8" s="275" t="e">
        <f>"No data"&amp;"_"&amp;AK$5</f>
        <v>#REF!</v>
      </c>
      <c r="AL8" s="275" t="e">
        <f>"No data"&amp;"_"&amp;AL$5</f>
        <v>#REF!</v>
      </c>
      <c r="AM8" s="195" t="e">
        <f>"No data"&amp;"_"&amp;AM$5</f>
        <v>#REF!</v>
      </c>
      <c r="AN8" s="195" t="s">
        <v>1246</v>
      </c>
      <c r="AO8" s="195" t="s">
        <v>1246</v>
      </c>
      <c r="AP8" s="195" t="s">
        <v>1246</v>
      </c>
      <c r="AQ8" s="195" t="s">
        <v>1246</v>
      </c>
      <c r="AR8" s="195" t="s">
        <v>1246</v>
      </c>
      <c r="AS8" s="195" t="s">
        <v>1246</v>
      </c>
      <c r="AT8" s="195" t="s">
        <v>1246</v>
      </c>
      <c r="AU8" s="195" t="s">
        <v>1246</v>
      </c>
      <c r="AV8" s="195" t="s">
        <v>1246</v>
      </c>
      <c r="AW8" s="195" t="s">
        <v>1246</v>
      </c>
      <c r="AX8" s="195" t="s">
        <v>1246</v>
      </c>
      <c r="AY8" s="195" t="s">
        <v>1246</v>
      </c>
      <c r="AZ8" s="195" t="s">
        <v>1246</v>
      </c>
      <c r="BA8" s="195" t="s">
        <v>1246</v>
      </c>
      <c r="BB8" s="195" t="s">
        <v>1246</v>
      </c>
      <c r="BC8" s="195" t="s">
        <v>1246</v>
      </c>
      <c r="BD8" s="195" t="s">
        <v>1246</v>
      </c>
      <c r="BE8" s="195" t="s">
        <v>1246</v>
      </c>
      <c r="BF8" s="195" t="s">
        <v>1246</v>
      </c>
      <c r="BG8" s="195"/>
      <c r="BH8"/>
    </row>
    <row r="9" spans="1:60">
      <c r="A9" s="10" t="e">
        <f>INDEX(Language!$D$6:$K$1231,1114,#REF!)</f>
        <v>#REF!</v>
      </c>
      <c r="B9" s="184" t="s">
        <v>1271</v>
      </c>
      <c r="C9" s="10">
        <v>4</v>
      </c>
      <c r="D9" s="194" t="s">
        <v>1272</v>
      </c>
      <c r="E9" s="193" t="s">
        <v>669</v>
      </c>
      <c r="F9" s="193" t="e">
        <f>"No data"&amp;"_"&amp;F$5</f>
        <v>#REF!</v>
      </c>
      <c r="G9" s="193" t="s">
        <v>1273</v>
      </c>
      <c r="H9" s="193" t="s">
        <v>1274</v>
      </c>
      <c r="I9" s="193" t="s">
        <v>1275</v>
      </c>
      <c r="J9" s="193" t="s">
        <v>1276</v>
      </c>
      <c r="K9" s="193" t="s">
        <v>1277</v>
      </c>
      <c r="L9" s="193" t="s">
        <v>1278</v>
      </c>
      <c r="M9" s="193" t="s">
        <v>1279</v>
      </c>
      <c r="N9" s="193" t="s">
        <v>1280</v>
      </c>
      <c r="O9" s="193" t="s">
        <v>1273</v>
      </c>
      <c r="P9" s="193" t="s">
        <v>1281</v>
      </c>
      <c r="Q9" s="193" t="s">
        <v>1282</v>
      </c>
      <c r="R9" s="212" t="s">
        <v>1283</v>
      </c>
      <c r="S9" s="193" t="s">
        <v>1284</v>
      </c>
      <c r="T9" s="193" t="s">
        <v>1285</v>
      </c>
      <c r="U9" s="193" t="s">
        <v>1286</v>
      </c>
      <c r="V9" s="193" t="s">
        <v>1287</v>
      </c>
      <c r="W9" s="193" t="s">
        <v>1288</v>
      </c>
      <c r="X9" s="193" t="s">
        <v>1289</v>
      </c>
      <c r="Y9" s="193" t="s">
        <v>1290</v>
      </c>
      <c r="Z9" s="272"/>
      <c r="AA9" s="195" t="s">
        <v>1291</v>
      </c>
      <c r="AB9" s="195" t="str">
        <f>"No data"&amp;"_"&amp;AB$5</f>
        <v>No data_New Zealand</v>
      </c>
      <c r="AC9" s="275" t="s">
        <v>1292</v>
      </c>
      <c r="AD9" s="195" t="s">
        <v>1246</v>
      </c>
      <c r="AE9" s="195" t="s">
        <v>1293</v>
      </c>
      <c r="AF9" s="195" t="s">
        <v>1273</v>
      </c>
      <c r="AG9" s="195" t="s">
        <v>1294</v>
      </c>
      <c r="AH9" s="195" t="s">
        <v>1295</v>
      </c>
      <c r="AI9" s="195" t="s">
        <v>1296</v>
      </c>
      <c r="AJ9" s="195" t="e">
        <f>"No data"&amp;"_"&amp;AJ$5</f>
        <v>#REF!</v>
      </c>
      <c r="AK9" s="195" t="s">
        <v>1246</v>
      </c>
      <c r="AL9" s="195" t="s">
        <v>1246</v>
      </c>
      <c r="AM9" s="195" t="s">
        <v>1246</v>
      </c>
      <c r="AN9" s="195" t="s">
        <v>1273</v>
      </c>
      <c r="AO9" s="195" t="s">
        <v>1273</v>
      </c>
      <c r="AP9" s="195" t="s">
        <v>1273</v>
      </c>
      <c r="AQ9" s="195" t="s">
        <v>1273</v>
      </c>
      <c r="AR9" s="195" t="s">
        <v>1273</v>
      </c>
      <c r="AS9" s="195" t="s">
        <v>1273</v>
      </c>
      <c r="AT9" s="195" t="s">
        <v>1273</v>
      </c>
      <c r="AU9" s="195" t="s">
        <v>1273</v>
      </c>
      <c r="AV9" s="195" t="s">
        <v>1273</v>
      </c>
      <c r="AW9" s="195" t="s">
        <v>1273</v>
      </c>
      <c r="AX9" s="195" t="s">
        <v>1273</v>
      </c>
      <c r="AY9" s="195" t="s">
        <v>1273</v>
      </c>
      <c r="AZ9" s="195" t="s">
        <v>1273</v>
      </c>
      <c r="BA9" s="195" t="s">
        <v>1273</v>
      </c>
      <c r="BB9" s="195" t="s">
        <v>1273</v>
      </c>
      <c r="BC9" s="195" t="s">
        <v>1273</v>
      </c>
      <c r="BD9" s="195" t="s">
        <v>1273</v>
      </c>
      <c r="BE9" s="195" t="s">
        <v>1273</v>
      </c>
      <c r="BF9" s="195" t="s">
        <v>1273</v>
      </c>
      <c r="BG9" s="195"/>
      <c r="BH9"/>
    </row>
    <row r="10" spans="1:60">
      <c r="A10" s="10" t="e">
        <f>INDEX(Language!$D$6:$K$1231,1115,#REF!)</f>
        <v>#REF!</v>
      </c>
      <c r="B10" s="184" t="s">
        <v>199</v>
      </c>
      <c r="C10" s="10">
        <v>5</v>
      </c>
      <c r="D10" s="194" t="s">
        <v>1297</v>
      </c>
      <c r="E10" s="193" t="s">
        <v>671</v>
      </c>
      <c r="F10" s="193" t="s">
        <v>1246</v>
      </c>
      <c r="G10" s="193" t="s">
        <v>317</v>
      </c>
      <c r="H10" s="193" t="s">
        <v>1298</v>
      </c>
      <c r="I10" s="193" t="s">
        <v>1299</v>
      </c>
      <c r="J10" s="193" t="s">
        <v>1300</v>
      </c>
      <c r="K10" s="193" t="s">
        <v>1301</v>
      </c>
      <c r="L10" s="193" t="s">
        <v>1302</v>
      </c>
      <c r="M10" s="193" t="s">
        <v>1303</v>
      </c>
      <c r="N10" s="193" t="s">
        <v>1304</v>
      </c>
      <c r="O10" s="193" t="s">
        <v>319</v>
      </c>
      <c r="P10" s="193" t="s">
        <v>1305</v>
      </c>
      <c r="Q10" s="193" t="s">
        <v>1306</v>
      </c>
      <c r="R10" s="212" t="s">
        <v>1307</v>
      </c>
      <c r="S10" s="193" t="s">
        <v>1308</v>
      </c>
      <c r="T10" s="193" t="s">
        <v>1309</v>
      </c>
      <c r="U10" s="193" t="s">
        <v>1310</v>
      </c>
      <c r="V10" s="193" t="s">
        <v>1311</v>
      </c>
      <c r="W10" s="193" t="s">
        <v>1312</v>
      </c>
      <c r="X10" s="193" t="s">
        <v>1313</v>
      </c>
      <c r="Y10" s="193" t="s">
        <v>1314</v>
      </c>
      <c r="Z10" s="272"/>
      <c r="AA10" s="195" t="s">
        <v>1315</v>
      </c>
      <c r="AB10" s="195" t="s">
        <v>1246</v>
      </c>
      <c r="AC10" s="275" t="s">
        <v>1316</v>
      </c>
      <c r="AD10" s="195" t="s">
        <v>1273</v>
      </c>
      <c r="AE10" s="195" t="s">
        <v>1317</v>
      </c>
      <c r="AF10" s="195"/>
      <c r="AG10" s="195" t="s">
        <v>1318</v>
      </c>
      <c r="AH10" s="195" t="s">
        <v>1319</v>
      </c>
      <c r="AI10" s="195" t="s">
        <v>1320</v>
      </c>
      <c r="AJ10" s="195" t="s">
        <v>1246</v>
      </c>
      <c r="AK10" s="195" t="s">
        <v>1273</v>
      </c>
      <c r="AL10" s="195" t="s">
        <v>1273</v>
      </c>
      <c r="AM10" s="320" t="s">
        <v>1273</v>
      </c>
      <c r="AN10" s="320"/>
      <c r="AO10" s="320"/>
      <c r="AP10" s="320"/>
      <c r="AQ10" s="320"/>
      <c r="AR10" s="320"/>
      <c r="AS10" s="320"/>
      <c r="AT10" s="320"/>
      <c r="AU10" s="320"/>
      <c r="AV10" s="320"/>
      <c r="AW10" s="320"/>
      <c r="AX10" s="320"/>
      <c r="AY10" s="320"/>
      <c r="AZ10" s="320"/>
      <c r="BA10" s="320"/>
      <c r="BB10" s="320"/>
      <c r="BC10" s="320"/>
      <c r="BD10" s="320"/>
      <c r="BE10" s="320"/>
      <c r="BF10" s="320"/>
      <c r="BG10" s="320"/>
      <c r="BH10"/>
    </row>
    <row r="11" spans="1:60">
      <c r="A11" s="10" t="e">
        <f>INDEX(Language!$D$6:$K$1231,1116,#REF!)</f>
        <v>#REF!</v>
      </c>
      <c r="B11" s="10" t="s">
        <v>201</v>
      </c>
      <c r="C11" s="10">
        <v>6</v>
      </c>
      <c r="D11" s="194" t="s">
        <v>1321</v>
      </c>
      <c r="E11" s="193" t="s">
        <v>673</v>
      </c>
      <c r="F11" s="193" t="s">
        <v>1273</v>
      </c>
      <c r="G11" s="193"/>
      <c r="H11" s="193" t="s">
        <v>1322</v>
      </c>
      <c r="I11" s="193" t="s">
        <v>1323</v>
      </c>
      <c r="J11" s="193" t="s">
        <v>1324</v>
      </c>
      <c r="K11" s="193" t="s">
        <v>1325</v>
      </c>
      <c r="L11" s="193" t="s">
        <v>1326</v>
      </c>
      <c r="M11" s="193" t="s">
        <v>1327</v>
      </c>
      <c r="N11" s="193" t="s">
        <v>1328</v>
      </c>
      <c r="O11" s="193"/>
      <c r="P11" s="193" t="s">
        <v>1329</v>
      </c>
      <c r="Q11" s="193" t="s">
        <v>1330</v>
      </c>
      <c r="R11" s="212" t="s">
        <v>1331</v>
      </c>
      <c r="S11" s="193" t="s">
        <v>1332</v>
      </c>
      <c r="T11" s="193" t="s">
        <v>1333</v>
      </c>
      <c r="U11" s="193" t="s">
        <v>1334</v>
      </c>
      <c r="V11" s="193" t="s">
        <v>1335</v>
      </c>
      <c r="W11" s="193" t="s">
        <v>1336</v>
      </c>
      <c r="X11" s="193" t="s">
        <v>1337</v>
      </c>
      <c r="Y11" s="193" t="s">
        <v>1338</v>
      </c>
      <c r="Z11" s="272"/>
      <c r="AA11" s="195" t="s">
        <v>1339</v>
      </c>
      <c r="AB11" s="195" t="s">
        <v>1273</v>
      </c>
      <c r="AC11" s="275" t="s">
        <v>1340</v>
      </c>
      <c r="AD11" s="320" t="s">
        <v>325</v>
      </c>
      <c r="AE11" s="320" t="s">
        <v>1341</v>
      </c>
      <c r="AF11" s="320"/>
      <c r="AG11" s="320" t="s">
        <v>1342</v>
      </c>
      <c r="AH11" s="320" t="s">
        <v>1343</v>
      </c>
      <c r="AI11" s="320" t="s">
        <v>1344</v>
      </c>
      <c r="AJ11" s="320" t="s">
        <v>1273</v>
      </c>
      <c r="AK11" s="320" t="s">
        <v>593</v>
      </c>
      <c r="AL11" s="320" t="s">
        <v>611</v>
      </c>
      <c r="AM11" s="275" t="s">
        <v>613</v>
      </c>
      <c r="AN11" s="275"/>
      <c r="AO11" s="275"/>
      <c r="AP11" s="275"/>
      <c r="AQ11" s="275"/>
      <c r="AR11" s="275"/>
      <c r="AS11" s="275"/>
      <c r="AT11" s="275"/>
      <c r="AU11" s="275"/>
      <c r="AV11" s="275"/>
      <c r="AW11" s="275"/>
      <c r="AX11" s="275"/>
      <c r="AY11" s="275"/>
      <c r="AZ11" s="275"/>
      <c r="BA11" s="275"/>
      <c r="BB11" s="275"/>
      <c r="BC11" s="275"/>
      <c r="BD11" s="275"/>
      <c r="BE11" s="275"/>
      <c r="BF11" s="275"/>
      <c r="BG11" s="275"/>
      <c r="BH11"/>
    </row>
    <row r="12" spans="1:60">
      <c r="A12" s="10" t="e">
        <f>INDEX(Language!$D$6:$K$1231,1117,#REF!)</f>
        <v>#REF!</v>
      </c>
      <c r="B12" s="184" t="s">
        <v>203</v>
      </c>
      <c r="C12" s="10">
        <v>7</v>
      </c>
      <c r="D12" s="194" t="s">
        <v>1345</v>
      </c>
      <c r="E12" s="193" t="s">
        <v>675</v>
      </c>
      <c r="F12" s="193" t="s">
        <v>581</v>
      </c>
      <c r="G12" s="193"/>
      <c r="H12" s="193" t="s">
        <v>1346</v>
      </c>
      <c r="I12" s="193" t="s">
        <v>1347</v>
      </c>
      <c r="J12" s="193" t="s">
        <v>1348</v>
      </c>
      <c r="K12" s="193" t="s">
        <v>1349</v>
      </c>
      <c r="L12" s="193" t="s">
        <v>1350</v>
      </c>
      <c r="M12" s="193" t="s">
        <v>1351</v>
      </c>
      <c r="N12" s="193" t="s">
        <v>1352</v>
      </c>
      <c r="O12" s="193"/>
      <c r="P12" s="193" t="s">
        <v>1353</v>
      </c>
      <c r="Q12" s="193" t="s">
        <v>1354</v>
      </c>
      <c r="R12" s="212" t="s">
        <v>1355</v>
      </c>
      <c r="S12" s="193" t="s">
        <v>1356</v>
      </c>
      <c r="T12" s="193" t="s">
        <v>1357</v>
      </c>
      <c r="U12" s="193" t="s">
        <v>1358</v>
      </c>
      <c r="V12" s="193" t="s">
        <v>1359</v>
      </c>
      <c r="W12" s="193" t="s">
        <v>1360</v>
      </c>
      <c r="X12" s="193" t="s">
        <v>1361</v>
      </c>
      <c r="Y12" s="193" t="s">
        <v>1362</v>
      </c>
      <c r="Z12" s="272"/>
      <c r="AA12" s="195" t="s">
        <v>1363</v>
      </c>
      <c r="AB12" s="195" t="str">
        <f>AB5</f>
        <v>New Zealand</v>
      </c>
      <c r="AC12" s="275" t="s">
        <v>1364</v>
      </c>
      <c r="AD12" s="275"/>
      <c r="AE12" s="275" t="s">
        <v>1365</v>
      </c>
      <c r="AF12" s="275"/>
      <c r="AG12" s="275" t="s">
        <v>1366</v>
      </c>
      <c r="AH12" s="275" t="s">
        <v>1367</v>
      </c>
      <c r="AI12" s="275" t="s">
        <v>1368</v>
      </c>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row>
    <row r="13" spans="1:60">
      <c r="A13" s="10" t="e">
        <f>INDEX(Language!$D$6:$K$1231,1118,#REF!)</f>
        <v>#REF!</v>
      </c>
      <c r="B13" s="184" t="s">
        <v>205</v>
      </c>
      <c r="C13" s="10">
        <v>8</v>
      </c>
      <c r="D13" s="194" t="s">
        <v>1369</v>
      </c>
      <c r="E13" s="193" t="s">
        <v>677</v>
      </c>
      <c r="F13" s="193"/>
      <c r="G13" s="193"/>
      <c r="H13" s="193" t="s">
        <v>1246</v>
      </c>
      <c r="I13" s="193" t="s">
        <v>1370</v>
      </c>
      <c r="J13" s="193" t="s">
        <v>1371</v>
      </c>
      <c r="K13" s="193" t="s">
        <v>1372</v>
      </c>
      <c r="L13" s="193" t="s">
        <v>1373</v>
      </c>
      <c r="M13" s="193" t="s">
        <v>1374</v>
      </c>
      <c r="N13" s="193" t="s">
        <v>1375</v>
      </c>
      <c r="O13" s="193"/>
      <c r="P13" s="193" t="s">
        <v>1376</v>
      </c>
      <c r="Q13" s="193" t="s">
        <v>1377</v>
      </c>
      <c r="R13" s="212" t="s">
        <v>1378</v>
      </c>
      <c r="S13" s="193" t="s">
        <v>1379</v>
      </c>
      <c r="T13" s="193" t="s">
        <v>1380</v>
      </c>
      <c r="U13" s="193" t="s">
        <v>1381</v>
      </c>
      <c r="V13" s="193" t="s">
        <v>1382</v>
      </c>
      <c r="W13" s="193" t="s">
        <v>1383</v>
      </c>
      <c r="X13" s="193" t="s">
        <v>1384</v>
      </c>
      <c r="Y13" s="193" t="s">
        <v>1385</v>
      </c>
      <c r="Z13" s="272"/>
      <c r="AA13" s="195" t="s">
        <v>1386</v>
      </c>
      <c r="AB13" s="195"/>
      <c r="AC13" s="275" t="s">
        <v>1387</v>
      </c>
      <c r="AD13" s="275"/>
      <c r="AE13" s="275" t="s">
        <v>1388</v>
      </c>
      <c r="AF13" s="275"/>
      <c r="AG13" s="275" t="s">
        <v>1389</v>
      </c>
      <c r="AH13" s="275" t="s">
        <v>1390</v>
      </c>
      <c r="AI13" s="275" t="s">
        <v>1391</v>
      </c>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row>
    <row r="14" spans="1:60">
      <c r="A14" s="10" t="e">
        <f>INDEX(Language!$D$6:$K$1231,1119,#REF!)</f>
        <v>#REF!</v>
      </c>
      <c r="B14" s="184" t="s">
        <v>1392</v>
      </c>
      <c r="C14" s="10">
        <v>9</v>
      </c>
      <c r="D14" s="193" t="e">
        <f>"No data"&amp;"_"&amp;D$5</f>
        <v>#REF!</v>
      </c>
      <c r="E14" s="193" t="s">
        <v>679</v>
      </c>
      <c r="F14" s="193"/>
      <c r="G14" s="193"/>
      <c r="H14" s="193" t="s">
        <v>1273</v>
      </c>
      <c r="I14" s="193" t="s">
        <v>1393</v>
      </c>
      <c r="J14" s="193" t="s">
        <v>1394</v>
      </c>
      <c r="K14" s="193" t="s">
        <v>1395</v>
      </c>
      <c r="L14" s="193" t="s">
        <v>1396</v>
      </c>
      <c r="M14" s="193" t="s">
        <v>1397</v>
      </c>
      <c r="N14" s="193" t="s">
        <v>1398</v>
      </c>
      <c r="O14" s="193"/>
      <c r="P14" s="193" t="s">
        <v>1399</v>
      </c>
      <c r="Q14" s="193" t="s">
        <v>1400</v>
      </c>
      <c r="R14" s="212" t="s">
        <v>1401</v>
      </c>
      <c r="S14" s="193" t="s">
        <v>1402</v>
      </c>
      <c r="T14" s="193" t="s">
        <v>1403</v>
      </c>
      <c r="U14" s="193" t="s">
        <v>1404</v>
      </c>
      <c r="V14" s="193" t="s">
        <v>1405</v>
      </c>
      <c r="W14" s="193" t="e">
        <f>"No data"&amp;"_"&amp;W$5</f>
        <v>#REF!</v>
      </c>
      <c r="X14" s="193" t="s">
        <v>1406</v>
      </c>
      <c r="Y14" s="193" t="s">
        <v>1407</v>
      </c>
      <c r="Z14" s="272"/>
      <c r="AA14" s="195" t="s">
        <v>1408</v>
      </c>
      <c r="AB14" s="195"/>
      <c r="AC14" s="275" t="s">
        <v>1409</v>
      </c>
      <c r="AD14" s="275"/>
      <c r="AE14" s="275" t="e">
        <f>"No data"&amp;"_"&amp;AE$5</f>
        <v>#REF!</v>
      </c>
      <c r="AF14" s="275"/>
      <c r="AG14" s="275" t="e">
        <f>"No data"&amp;"_"&amp;AG$5</f>
        <v>#REF!</v>
      </c>
      <c r="AH14" s="275" t="s">
        <v>1410</v>
      </c>
      <c r="AI14" s="275" t="s">
        <v>1411</v>
      </c>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row>
    <row r="15" spans="1:60">
      <c r="A15" s="10" t="e">
        <f>INDEX(Language!$D$6:$K$1231,1120,#REF!)</f>
        <v>#REF!</v>
      </c>
      <c r="B15" s="184" t="s">
        <v>1412</v>
      </c>
      <c r="C15" s="10">
        <v>10</v>
      </c>
      <c r="D15" s="193" t="s">
        <v>1246</v>
      </c>
      <c r="E15" s="193" t="e">
        <f>"No data"&amp;"_"&amp;E$5</f>
        <v>#REF!</v>
      </c>
      <c r="F15" s="193"/>
      <c r="G15" s="193"/>
      <c r="H15" s="193" t="s">
        <v>591</v>
      </c>
      <c r="I15" s="193" t="s">
        <v>1413</v>
      </c>
      <c r="J15" s="193" t="s">
        <v>1414</v>
      </c>
      <c r="K15" s="193" t="s">
        <v>1415</v>
      </c>
      <c r="L15" s="193" t="s">
        <v>1416</v>
      </c>
      <c r="M15" s="193" t="s">
        <v>1417</v>
      </c>
      <c r="N15" s="193" t="s">
        <v>1418</v>
      </c>
      <c r="O15" s="193"/>
      <c r="P15" s="193" t="s">
        <v>1419</v>
      </c>
      <c r="Q15" s="193" t="s">
        <v>1420</v>
      </c>
      <c r="R15" s="212" t="s">
        <v>1421</v>
      </c>
      <c r="S15" s="193" t="e">
        <f>"No data"&amp;"_"&amp;S$5</f>
        <v>#REF!</v>
      </c>
      <c r="T15" s="193" t="s">
        <v>1422</v>
      </c>
      <c r="U15" s="193" t="s">
        <v>1423</v>
      </c>
      <c r="V15" s="193" t="s">
        <v>1424</v>
      </c>
      <c r="W15" s="193" t="s">
        <v>1246</v>
      </c>
      <c r="X15" s="193" t="s">
        <v>1425</v>
      </c>
      <c r="Y15" s="193" t="s">
        <v>1426</v>
      </c>
      <c r="Z15" s="272"/>
      <c r="AA15" s="195" t="s">
        <v>1427</v>
      </c>
      <c r="AB15" s="195"/>
      <c r="AC15" s="275" t="s">
        <v>1428</v>
      </c>
      <c r="AD15" s="275"/>
      <c r="AE15" s="275" t="s">
        <v>1246</v>
      </c>
      <c r="AF15" s="275"/>
      <c r="AG15" s="275" t="s">
        <v>1246</v>
      </c>
      <c r="AH15" s="275" t="s">
        <v>1429</v>
      </c>
      <c r="AI15" s="275" t="s">
        <v>1430</v>
      </c>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row>
    <row r="16" spans="1:60">
      <c r="A16" s="10" t="e">
        <f>INDEX(Language!$D$6:$K$1231,1121,#REF!)</f>
        <v>#REF!</v>
      </c>
      <c r="B16" s="184" t="s">
        <v>1431</v>
      </c>
      <c r="C16" s="10">
        <v>11</v>
      </c>
      <c r="D16" s="193" t="s">
        <v>1273</v>
      </c>
      <c r="E16" s="193" t="s">
        <v>1246</v>
      </c>
      <c r="F16" s="193"/>
      <c r="G16" s="193"/>
      <c r="H16" s="193"/>
      <c r="I16" s="193" t="s">
        <v>1432</v>
      </c>
      <c r="J16" s="193" t="s">
        <v>1433</v>
      </c>
      <c r="K16" s="193" t="e">
        <f>"No data"&amp;"_"&amp;K$5</f>
        <v>#REF!</v>
      </c>
      <c r="L16" s="193" t="s">
        <v>1434</v>
      </c>
      <c r="M16" s="193" t="s">
        <v>1435</v>
      </c>
      <c r="N16" s="193" t="s">
        <v>1436</v>
      </c>
      <c r="O16" s="193"/>
      <c r="P16" s="193" t="s">
        <v>1437</v>
      </c>
      <c r="Q16" s="193" t="s">
        <v>1438</v>
      </c>
      <c r="R16" s="212" t="s">
        <v>1439</v>
      </c>
      <c r="S16" s="193" t="s">
        <v>1246</v>
      </c>
      <c r="T16" s="193" t="s">
        <v>1440</v>
      </c>
      <c r="U16" s="193" t="s">
        <v>1441</v>
      </c>
      <c r="V16" s="193" t="e">
        <f>"No data"&amp;"_"&amp;V$5</f>
        <v>#REF!</v>
      </c>
      <c r="W16" s="193" t="s">
        <v>1273</v>
      </c>
      <c r="X16" s="193" t="s">
        <v>1442</v>
      </c>
      <c r="Y16" s="193" t="s">
        <v>1443</v>
      </c>
      <c r="Z16" s="272"/>
      <c r="AA16" s="195" t="s">
        <v>1444</v>
      </c>
      <c r="AB16" s="195"/>
      <c r="AC16" s="275" t="s">
        <v>1445</v>
      </c>
      <c r="AD16" s="275"/>
      <c r="AE16" s="275" t="s">
        <v>1273</v>
      </c>
      <c r="AF16" s="275"/>
      <c r="AG16" s="275" t="s">
        <v>1273</v>
      </c>
      <c r="AH16" s="275" t="s">
        <v>1446</v>
      </c>
      <c r="AI16" s="275" t="s">
        <v>1447</v>
      </c>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row>
    <row r="17" spans="1:60">
      <c r="A17" s="10" t="e">
        <f>INDEX(Language!$D$6:$K$1231,1122,#REF!)</f>
        <v>#REF!</v>
      </c>
      <c r="B17" s="10" t="s">
        <v>211</v>
      </c>
      <c r="C17" s="10">
        <v>12</v>
      </c>
      <c r="D17" s="194" t="s">
        <v>313</v>
      </c>
      <c r="E17" s="193" t="s">
        <v>1273</v>
      </c>
      <c r="F17" s="193"/>
      <c r="G17" s="193"/>
      <c r="H17" s="193"/>
      <c r="I17" s="193" t="s">
        <v>1448</v>
      </c>
      <c r="J17" s="193" t="s">
        <v>1449</v>
      </c>
      <c r="K17" s="193" t="s">
        <v>1246</v>
      </c>
      <c r="L17" s="193" t="s">
        <v>1450</v>
      </c>
      <c r="M17" s="193" t="s">
        <v>1451</v>
      </c>
      <c r="N17" s="193" t="s">
        <v>1452</v>
      </c>
      <c r="O17" s="193"/>
      <c r="P17" s="193" t="s">
        <v>1453</v>
      </c>
      <c r="Q17" s="193" t="e">
        <f>"No data"&amp;"_"&amp;Q$5</f>
        <v>#REF!</v>
      </c>
      <c r="R17" s="212" t="s">
        <v>1454</v>
      </c>
      <c r="S17" s="193" t="s">
        <v>1273</v>
      </c>
      <c r="T17" s="193" t="s">
        <v>1455</v>
      </c>
      <c r="U17" s="193" t="s">
        <v>1456</v>
      </c>
      <c r="V17" s="193" t="s">
        <v>1246</v>
      </c>
      <c r="W17" s="193" t="s">
        <v>311</v>
      </c>
      <c r="X17" s="193" t="s">
        <v>1457</v>
      </c>
      <c r="Y17" s="193" t="s">
        <v>1458</v>
      </c>
      <c r="Z17" s="272"/>
      <c r="AA17" s="195" t="s">
        <v>1459</v>
      </c>
      <c r="AB17" s="195"/>
      <c r="AC17" s="275" t="s">
        <v>1460</v>
      </c>
      <c r="AD17" s="275"/>
      <c r="AE17" s="275" t="s">
        <v>625</v>
      </c>
      <c r="AF17" s="275"/>
      <c r="AG17" s="275" t="s">
        <v>623</v>
      </c>
      <c r="AH17" s="275" t="s">
        <v>1461</v>
      </c>
      <c r="AI17" s="275" t="s">
        <v>1462</v>
      </c>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row>
    <row r="18" spans="1:60">
      <c r="A18" s="10" t="e">
        <f>INDEX(Language!$D$6:$K$1231,1123,#REF!)</f>
        <v>#REF!</v>
      </c>
      <c r="B18" s="184" t="s">
        <v>213</v>
      </c>
      <c r="C18" s="10">
        <v>13</v>
      </c>
      <c r="D18" s="194"/>
      <c r="E18" s="193" t="s">
        <v>44</v>
      </c>
      <c r="F18" s="193"/>
      <c r="G18" s="193"/>
      <c r="H18" s="193"/>
      <c r="I18" s="193" t="s">
        <v>1463</v>
      </c>
      <c r="J18" s="193" t="s">
        <v>1464</v>
      </c>
      <c r="K18" s="193" t="s">
        <v>1273</v>
      </c>
      <c r="L18" s="193" t="s">
        <v>1465</v>
      </c>
      <c r="M18" s="193" t="s">
        <v>1466</v>
      </c>
      <c r="N18" s="193" t="s">
        <v>1467</v>
      </c>
      <c r="O18" s="193"/>
      <c r="P18" s="193" t="e">
        <f>"No data"&amp;"_"&amp;P$5</f>
        <v>#REF!</v>
      </c>
      <c r="Q18" s="193" t="s">
        <v>1246</v>
      </c>
      <c r="R18" s="212" t="s">
        <v>1468</v>
      </c>
      <c r="S18" s="193" t="s">
        <v>621</v>
      </c>
      <c r="T18" s="193" t="s">
        <v>1469</v>
      </c>
      <c r="U18" s="193" t="s">
        <v>1470</v>
      </c>
      <c r="V18" s="193" t="s">
        <v>1273</v>
      </c>
      <c r="W18" s="193"/>
      <c r="X18" s="193" t="e">
        <f>"No data"&amp;"_"&amp;X$5</f>
        <v>#REF!</v>
      </c>
      <c r="Y18" s="193" t="s">
        <v>1471</v>
      </c>
      <c r="Z18" s="272"/>
      <c r="AA18" s="195" t="s">
        <v>1472</v>
      </c>
      <c r="AB18" s="195"/>
      <c r="AC18" s="275" t="s">
        <v>1473</v>
      </c>
      <c r="AD18" s="275"/>
      <c r="AE18" s="275"/>
      <c r="AF18" s="275"/>
      <c r="AG18" s="275"/>
      <c r="AH18" s="275" t="s">
        <v>1474</v>
      </c>
      <c r="AI18" s="275" t="s">
        <v>1475</v>
      </c>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row>
    <row r="19" spans="1:60">
      <c r="A19" s="10" t="e">
        <f>INDEX(Language!$D$6:$K$1231,1124,#REF!)</f>
        <v>#REF!</v>
      </c>
      <c r="B19" s="184" t="s">
        <v>215</v>
      </c>
      <c r="C19" s="10">
        <v>14</v>
      </c>
      <c r="D19" s="194"/>
      <c r="E19" s="193"/>
      <c r="F19" s="193"/>
      <c r="G19" s="193"/>
      <c r="H19" s="193"/>
      <c r="I19" s="193" t="s">
        <v>1476</v>
      </c>
      <c r="J19" s="193" t="s">
        <v>1477</v>
      </c>
      <c r="K19" s="193" t="s">
        <v>601</v>
      </c>
      <c r="L19" s="193" t="s">
        <v>1478</v>
      </c>
      <c r="M19" s="193" t="s">
        <v>1479</v>
      </c>
      <c r="N19" s="193" t="s">
        <v>1480</v>
      </c>
      <c r="O19" s="193"/>
      <c r="P19" s="193"/>
      <c r="Q19" s="193" t="s">
        <v>1273</v>
      </c>
      <c r="R19" s="212" t="s">
        <v>1481</v>
      </c>
      <c r="S19" s="193"/>
      <c r="T19" s="193" t="s">
        <v>1482</v>
      </c>
      <c r="U19" s="193" t="s">
        <v>1483</v>
      </c>
      <c r="V19" s="213" t="s">
        <v>631</v>
      </c>
      <c r="W19" s="193"/>
      <c r="X19" s="193" t="s">
        <v>1246</v>
      </c>
      <c r="Y19" s="193" t="s">
        <v>1484</v>
      </c>
      <c r="Z19" s="272"/>
      <c r="AA19" s="195" t="s">
        <v>1485</v>
      </c>
      <c r="AB19" s="195"/>
      <c r="AC19" s="275" t="s">
        <v>1486</v>
      </c>
      <c r="AD19" s="275"/>
      <c r="AE19" s="275"/>
      <c r="AF19" s="275"/>
      <c r="AG19" s="275"/>
      <c r="AH19" s="275" t="s">
        <v>1487</v>
      </c>
      <c r="AI19" s="275" t="s">
        <v>1488</v>
      </c>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row>
    <row r="20" spans="1:60">
      <c r="A20" s="10" t="e">
        <f>INDEX(Language!$D$6:$K$1231,1125,#REF!)</f>
        <v>#REF!</v>
      </c>
      <c r="B20" s="184" t="s">
        <v>1489</v>
      </c>
      <c r="C20" s="10">
        <v>15</v>
      </c>
      <c r="D20" s="194"/>
      <c r="E20" s="193"/>
      <c r="F20" s="193"/>
      <c r="G20" s="193"/>
      <c r="H20" s="193"/>
      <c r="I20" s="193" t="s">
        <v>1490</v>
      </c>
      <c r="J20" s="193" t="s">
        <v>1491</v>
      </c>
      <c r="K20" s="193"/>
      <c r="L20" s="193" t="s">
        <v>1492</v>
      </c>
      <c r="M20" s="193" t="s">
        <v>1493</v>
      </c>
      <c r="N20" s="193" t="s">
        <v>1494</v>
      </c>
      <c r="O20" s="193"/>
      <c r="P20" s="193"/>
      <c r="Q20" s="193" t="s">
        <v>638</v>
      </c>
      <c r="R20" s="193" t="s">
        <v>1495</v>
      </c>
      <c r="S20" s="193"/>
      <c r="T20" s="193" t="s">
        <v>1496</v>
      </c>
      <c r="U20" s="193" t="s">
        <v>1497</v>
      </c>
      <c r="V20" s="213"/>
      <c r="W20" s="193"/>
      <c r="X20" s="193" t="s">
        <v>1273</v>
      </c>
      <c r="Y20" s="193" t="s">
        <v>1498</v>
      </c>
      <c r="Z20" s="272"/>
      <c r="AA20" s="195" t="e">
        <f>"No data"&amp;"_"&amp;AA$5</f>
        <v>#REF!</v>
      </c>
      <c r="AB20" s="195"/>
      <c r="AC20" s="275" t="s">
        <v>1499</v>
      </c>
      <c r="AD20" s="275"/>
      <c r="AE20" s="275"/>
      <c r="AF20" s="275"/>
      <c r="AG20" s="275"/>
      <c r="AH20" s="275" t="s">
        <v>1500</v>
      </c>
      <c r="AI20" s="275" t="s">
        <v>1501</v>
      </c>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row>
    <row r="21" spans="1:60">
      <c r="A21" s="10" t="e">
        <f>INDEX(Language!$D$6:$K$1231,1126,#REF!)</f>
        <v>#REF!</v>
      </c>
      <c r="B21" s="184" t="s">
        <v>217</v>
      </c>
      <c r="C21" s="10">
        <v>16</v>
      </c>
      <c r="D21" s="194"/>
      <c r="E21" s="193"/>
      <c r="F21" s="193"/>
      <c r="G21" s="193"/>
      <c r="H21" s="193"/>
      <c r="I21" s="193" t="s">
        <v>1246</v>
      </c>
      <c r="J21" s="193" t="s">
        <v>1502</v>
      </c>
      <c r="K21" s="193"/>
      <c r="L21" s="193" t="s">
        <v>1503</v>
      </c>
      <c r="M21" s="193" t="s">
        <v>1504</v>
      </c>
      <c r="N21" s="193" t="s">
        <v>1505</v>
      </c>
      <c r="O21" s="193"/>
      <c r="P21" s="193"/>
      <c r="Q21" s="193"/>
      <c r="R21" s="212" t="s">
        <v>1506</v>
      </c>
      <c r="S21" s="193"/>
      <c r="T21" s="193" t="s">
        <v>1507</v>
      </c>
      <c r="U21" s="193" t="s">
        <v>1508</v>
      </c>
      <c r="V21" s="213"/>
      <c r="W21" s="193"/>
      <c r="X21" s="193" t="s">
        <v>1509</v>
      </c>
      <c r="Y21" s="193" t="e">
        <f>"No data"&amp;"_"&amp;Y$5</f>
        <v>#REF!</v>
      </c>
      <c r="Z21" s="272"/>
      <c r="AA21" s="195" t="s">
        <v>1246</v>
      </c>
      <c r="AB21" s="195"/>
      <c r="AC21" s="275" t="s">
        <v>1510</v>
      </c>
      <c r="AD21" s="275"/>
      <c r="AE21" s="275"/>
      <c r="AF21" s="275"/>
      <c r="AG21" s="275"/>
      <c r="AH21" s="275" t="s">
        <v>1511</v>
      </c>
      <c r="AI21" s="275" t="s">
        <v>1512</v>
      </c>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row>
    <row r="22" spans="1:60">
      <c r="A22" s="10" t="e">
        <f>INDEX(Language!$D$6:$K$1231,1127,#REF!)</f>
        <v>#REF!</v>
      </c>
      <c r="B22" s="184" t="s">
        <v>1513</v>
      </c>
      <c r="C22" s="10">
        <v>17</v>
      </c>
      <c r="D22" s="194"/>
      <c r="E22" s="193"/>
      <c r="F22" s="193"/>
      <c r="G22" s="193"/>
      <c r="H22" s="193"/>
      <c r="I22" s="193" t="s">
        <v>1273</v>
      </c>
      <c r="J22" s="193" t="e">
        <f>"No data"&amp;"_"&amp;J$5</f>
        <v>#REF!</v>
      </c>
      <c r="K22" s="193"/>
      <c r="L22" s="193" t="s">
        <v>1514</v>
      </c>
      <c r="M22" s="193" t="s">
        <v>1515</v>
      </c>
      <c r="N22" s="193" t="s">
        <v>1516</v>
      </c>
      <c r="O22" s="193"/>
      <c r="P22" s="193"/>
      <c r="Q22" s="193"/>
      <c r="R22" s="193" t="e">
        <f>"No data"&amp;"_"&amp;R$5</f>
        <v>#REF!</v>
      </c>
      <c r="S22" s="193"/>
      <c r="T22" s="193" t="s">
        <v>1517</v>
      </c>
      <c r="U22" s="193" t="s">
        <v>1518</v>
      </c>
      <c r="V22" s="213"/>
      <c r="W22" s="193"/>
      <c r="X22" s="193"/>
      <c r="Y22" s="193" t="s">
        <v>1246</v>
      </c>
      <c r="Z22" s="272"/>
      <c r="AA22" s="195" t="s">
        <v>1273</v>
      </c>
      <c r="AB22" s="195"/>
      <c r="AC22" s="275" t="s">
        <v>1519</v>
      </c>
      <c r="AD22" s="275"/>
      <c r="AE22" s="275"/>
      <c r="AF22" s="275"/>
      <c r="AG22" s="275"/>
      <c r="AH22" s="275" t="s">
        <v>1520</v>
      </c>
      <c r="AI22" s="275" t="s">
        <v>1521</v>
      </c>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row>
    <row r="23" spans="1:60">
      <c r="A23" s="10" t="e">
        <f>INDEX(Language!$D$6:$K$1231,1128,#REF!)</f>
        <v>#REF!</v>
      </c>
      <c r="B23" s="184" t="s">
        <v>1522</v>
      </c>
      <c r="C23" s="10">
        <v>18</v>
      </c>
      <c r="D23" s="194"/>
      <c r="E23" s="193"/>
      <c r="F23" s="193"/>
      <c r="G23" s="193"/>
      <c r="H23" s="193"/>
      <c r="I23" s="193" t="s">
        <v>597</v>
      </c>
      <c r="J23" s="193" t="s">
        <v>1246</v>
      </c>
      <c r="K23" s="193"/>
      <c r="L23" s="193" t="s">
        <v>1523</v>
      </c>
      <c r="M23" s="193" t="s">
        <v>1524</v>
      </c>
      <c r="N23" s="193" t="s">
        <v>1525</v>
      </c>
      <c r="O23" s="193"/>
      <c r="P23" s="193"/>
      <c r="Q23" s="193"/>
      <c r="R23" s="193" t="s">
        <v>1246</v>
      </c>
      <c r="S23" s="193"/>
      <c r="T23" s="193" t="s">
        <v>1526</v>
      </c>
      <c r="U23" s="193" t="e">
        <f>"No data"&amp;"_"&amp;U$5</f>
        <v>#REF!</v>
      </c>
      <c r="V23" s="213"/>
      <c r="W23" s="193"/>
      <c r="X23" s="193"/>
      <c r="Y23" s="193" t="s">
        <v>1273</v>
      </c>
      <c r="Z23" s="272"/>
      <c r="AA23" s="195" t="e">
        <f>AA5</f>
        <v>#REF!</v>
      </c>
      <c r="AB23" s="195"/>
      <c r="AC23" s="275" t="str">
        <f>"No data"&amp;"_"&amp;AC$5</f>
        <v>No data_South Korea</v>
      </c>
      <c r="AD23" s="275"/>
      <c r="AE23" s="275"/>
      <c r="AF23" s="275"/>
      <c r="AG23" s="275"/>
      <c r="AH23" s="275" t="s">
        <v>1527</v>
      </c>
      <c r="AI23" s="275" t="s">
        <v>1528</v>
      </c>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row>
    <row r="24" spans="1:60">
      <c r="A24" s="10" t="e">
        <f>INDEX(Language!$D$6:$K$1231,1129,#REF!)</f>
        <v>#REF!</v>
      </c>
      <c r="B24" s="184" t="s">
        <v>219</v>
      </c>
      <c r="C24" s="10">
        <v>19</v>
      </c>
      <c r="D24" s="194"/>
      <c r="E24" s="193"/>
      <c r="F24" s="193"/>
      <c r="G24" s="193"/>
      <c r="H24" s="193"/>
      <c r="I24" s="193"/>
      <c r="J24" s="193" t="s">
        <v>1273</v>
      </c>
      <c r="K24" s="193"/>
      <c r="L24" s="193" t="s">
        <v>1529</v>
      </c>
      <c r="M24" s="193" t="s">
        <v>1530</v>
      </c>
      <c r="N24" s="193" t="s">
        <v>1531</v>
      </c>
      <c r="O24" s="193"/>
      <c r="P24" s="193"/>
      <c r="Q24" s="193"/>
      <c r="R24" s="193" t="s">
        <v>1273</v>
      </c>
      <c r="S24" s="193"/>
      <c r="T24" s="193" t="s">
        <v>1532</v>
      </c>
      <c r="U24" s="193" t="s">
        <v>1246</v>
      </c>
      <c r="V24" s="213"/>
      <c r="W24" s="193"/>
      <c r="X24" s="193"/>
      <c r="Y24" s="193" t="s">
        <v>634</v>
      </c>
      <c r="Z24" s="272"/>
      <c r="AA24" s="195"/>
      <c r="AB24" s="195"/>
      <c r="AC24" s="319" t="s">
        <v>1246</v>
      </c>
      <c r="AD24" s="195"/>
      <c r="AE24" s="195"/>
      <c r="AF24" s="195"/>
      <c r="AG24" s="195"/>
      <c r="AH24" s="195" t="s">
        <v>1533</v>
      </c>
      <c r="AI24" s="195" t="s">
        <v>1534</v>
      </c>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row>
    <row r="25" spans="1:60">
      <c r="A25" s="10" t="e">
        <f>INDEX(Language!$D$6:$K$1231,1130,#REF!)</f>
        <v>#REF!</v>
      </c>
      <c r="B25" s="184" t="s">
        <v>221</v>
      </c>
      <c r="C25" s="10">
        <v>20</v>
      </c>
      <c r="D25" s="194"/>
      <c r="E25" s="193"/>
      <c r="F25" s="193"/>
      <c r="G25" s="193"/>
      <c r="H25" s="193"/>
      <c r="I25" s="193"/>
      <c r="J25" s="193" t="s">
        <v>599</v>
      </c>
      <c r="K25" s="193"/>
      <c r="L25" s="193" t="s">
        <v>1535</v>
      </c>
      <c r="M25" s="193" t="s">
        <v>1536</v>
      </c>
      <c r="N25" s="193" t="s">
        <v>1537</v>
      </c>
      <c r="O25" s="193"/>
      <c r="P25" s="193"/>
      <c r="Q25" s="193"/>
      <c r="R25" s="193" t="s">
        <v>619</v>
      </c>
      <c r="S25" s="193"/>
      <c r="T25" s="193" t="e">
        <f>"No data"&amp;"_"&amp;T$5</f>
        <v>#REF!</v>
      </c>
      <c r="U25" s="193" t="s">
        <v>1273</v>
      </c>
      <c r="V25" s="193"/>
      <c r="W25" s="193"/>
      <c r="X25" s="193"/>
      <c r="Y25" s="193"/>
      <c r="Z25" s="272"/>
      <c r="AA25" s="195"/>
      <c r="AB25" s="195"/>
      <c r="AC25" s="195" t="s">
        <v>1273</v>
      </c>
      <c r="AD25" s="195"/>
      <c r="AE25" s="195"/>
      <c r="AF25" s="195"/>
      <c r="AG25" s="195"/>
      <c r="AH25" s="195" t="s">
        <v>1538</v>
      </c>
      <c r="AI25" s="195" t="s">
        <v>1539</v>
      </c>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row>
    <row r="26" spans="1:60">
      <c r="A26" s="10" t="e">
        <f>INDEX(Language!$D$6:$K$1231,1131,#REF!)</f>
        <v>#REF!</v>
      </c>
      <c r="B26" s="184" t="s">
        <v>1540</v>
      </c>
      <c r="C26" s="10">
        <v>21</v>
      </c>
      <c r="D26" s="194"/>
      <c r="E26" s="193"/>
      <c r="F26" s="193"/>
      <c r="G26" s="193"/>
      <c r="H26" s="193"/>
      <c r="I26" s="193"/>
      <c r="J26" s="193"/>
      <c r="K26" s="193"/>
      <c r="L26" s="193" t="e">
        <f>"No data"&amp;"_"&amp;L$5</f>
        <v>#REF!</v>
      </c>
      <c r="M26" s="193" t="s">
        <v>1541</v>
      </c>
      <c r="N26" s="193" t="s">
        <v>1542</v>
      </c>
      <c r="O26" s="193"/>
      <c r="P26" s="193"/>
      <c r="Q26" s="193"/>
      <c r="R26" s="193"/>
      <c r="S26" s="193"/>
      <c r="T26" s="193" t="s">
        <v>1246</v>
      </c>
      <c r="U26" s="193" t="s">
        <v>629</v>
      </c>
      <c r="V26" s="193"/>
      <c r="W26" s="193"/>
      <c r="X26" s="193"/>
      <c r="Y26" s="193"/>
      <c r="Z26" s="272"/>
      <c r="AA26" s="195"/>
      <c r="AB26" s="195"/>
      <c r="AC26" s="320" t="s">
        <v>321</v>
      </c>
      <c r="AD26" s="320"/>
      <c r="AE26" s="320"/>
      <c r="AF26" s="320"/>
      <c r="AG26" s="320"/>
      <c r="AH26" s="320" t="s">
        <v>1543</v>
      </c>
      <c r="AI26" s="320" t="s">
        <v>1544</v>
      </c>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row>
    <row r="27" spans="1:60">
      <c r="A27" s="10" t="e">
        <f>INDEX(Language!$D$6:$K$1231,1132,#REF!)</f>
        <v>#REF!</v>
      </c>
      <c r="B27" s="184" t="s">
        <v>1545</v>
      </c>
      <c r="C27" s="10">
        <v>22</v>
      </c>
      <c r="D27" s="194"/>
      <c r="E27" s="193"/>
      <c r="F27" s="193"/>
      <c r="G27" s="193"/>
      <c r="H27" s="193"/>
      <c r="I27" s="193"/>
      <c r="J27" s="193"/>
      <c r="K27" s="193"/>
      <c r="L27" s="193" t="s">
        <v>1246</v>
      </c>
      <c r="M27" s="193" t="s">
        <v>1546</v>
      </c>
      <c r="N27" s="193" t="e">
        <f>"No data"&amp;"_"&amp;N$5</f>
        <v>#REF!</v>
      </c>
      <c r="O27" s="193"/>
      <c r="P27" s="193"/>
      <c r="Q27" s="193"/>
      <c r="R27" s="193"/>
      <c r="S27" s="193"/>
      <c r="T27" s="193" t="s">
        <v>1273</v>
      </c>
      <c r="U27" s="193"/>
      <c r="V27" s="193"/>
      <c r="W27" s="193"/>
      <c r="X27" s="193"/>
      <c r="Y27" s="193"/>
      <c r="Z27" s="272"/>
      <c r="AA27" s="195"/>
      <c r="AB27" s="195"/>
      <c r="AC27" s="275"/>
      <c r="AD27" s="275"/>
      <c r="AE27" s="275"/>
      <c r="AF27" s="275"/>
      <c r="AG27" s="275"/>
      <c r="AH27" s="275" t="e">
        <f>"No data"&amp;"_"&amp;AH$5</f>
        <v>#REF!</v>
      </c>
      <c r="AI27" s="275" t="s">
        <v>1547</v>
      </c>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row>
    <row r="28" spans="1:60">
      <c r="A28" s="10" t="e">
        <f>INDEX(Language!$D$6:$K$1231,1133,#REF!)</f>
        <v>#REF!</v>
      </c>
      <c r="C28" s="10">
        <v>23</v>
      </c>
      <c r="D28" s="194"/>
      <c r="E28" s="193"/>
      <c r="F28" s="193"/>
      <c r="G28" s="193"/>
      <c r="H28" s="193"/>
      <c r="I28" s="193"/>
      <c r="J28" s="193"/>
      <c r="K28" s="193"/>
      <c r="L28" s="193" t="s">
        <v>1273</v>
      </c>
      <c r="M28" s="193" t="s">
        <v>1548</v>
      </c>
      <c r="N28" s="193" t="s">
        <v>1246</v>
      </c>
      <c r="O28" s="193"/>
      <c r="P28" s="193"/>
      <c r="Q28" s="193"/>
      <c r="R28" s="193"/>
      <c r="S28" s="193"/>
      <c r="T28" s="193" t="s">
        <v>595</v>
      </c>
      <c r="U28" s="193"/>
      <c r="V28" s="193"/>
      <c r="W28" s="193"/>
      <c r="X28" s="193"/>
      <c r="Y28" s="193"/>
      <c r="Z28" s="272"/>
      <c r="AA28" s="195"/>
      <c r="AB28" s="195"/>
      <c r="AC28" s="275"/>
      <c r="AD28" s="275"/>
      <c r="AE28" s="275"/>
      <c r="AF28" s="275"/>
      <c r="AG28" s="275"/>
      <c r="AH28" s="275" t="s">
        <v>1246</v>
      </c>
      <c r="AI28" s="275" t="e">
        <f>"No data"&amp;"_"&amp;AI$5</f>
        <v>#REF!</v>
      </c>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row>
    <row r="29" spans="1:60" ht="13.5" thickBot="1">
      <c r="A29" s="298" t="e">
        <f>INDEX(Language!$D$6:$K$2227,1734,#REF!)</f>
        <v>#REF!</v>
      </c>
      <c r="D29" s="196"/>
      <c r="E29" s="197"/>
      <c r="F29" s="197"/>
      <c r="G29" s="197"/>
      <c r="H29" s="197"/>
      <c r="I29" s="193"/>
      <c r="J29" s="197"/>
      <c r="K29" s="197"/>
      <c r="L29" s="197" t="s">
        <v>605</v>
      </c>
      <c r="M29" s="197" t="s">
        <v>1549</v>
      </c>
      <c r="N29" s="193" t="s">
        <v>1273</v>
      </c>
      <c r="O29" s="197"/>
      <c r="P29" s="197"/>
      <c r="Q29" s="197"/>
      <c r="R29" s="197"/>
      <c r="S29" s="197"/>
      <c r="T29" s="197"/>
      <c r="U29" s="197"/>
      <c r="V29" s="197"/>
      <c r="W29" s="197"/>
      <c r="X29" s="197"/>
      <c r="Y29" s="197"/>
      <c r="Z29" s="273"/>
      <c r="AA29" s="198"/>
      <c r="AB29" s="198"/>
      <c r="AC29" s="275"/>
      <c r="AD29" s="275"/>
      <c r="AE29" s="275"/>
      <c r="AF29" s="275"/>
      <c r="AG29" s="275"/>
      <c r="AH29" s="275" t="s">
        <v>1273</v>
      </c>
      <c r="AI29" s="275" t="s">
        <v>1246</v>
      </c>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row>
    <row r="30" spans="1:60" ht="13.5" thickBot="1">
      <c r="D30" s="196"/>
      <c r="E30" s="197"/>
      <c r="F30" s="197"/>
      <c r="G30" s="197"/>
      <c r="H30" s="197"/>
      <c r="I30" s="193"/>
      <c r="J30" s="197"/>
      <c r="K30" s="197"/>
      <c r="L30" s="197"/>
      <c r="M30" s="197" t="s">
        <v>1550</v>
      </c>
      <c r="N30" s="197" t="s">
        <v>609</v>
      </c>
      <c r="O30" s="197"/>
      <c r="P30" s="197"/>
      <c r="Q30" s="197"/>
      <c r="R30" s="197"/>
      <c r="S30" s="197"/>
      <c r="T30" s="197"/>
      <c r="U30" s="197"/>
      <c r="V30" s="197"/>
      <c r="W30" s="197"/>
      <c r="X30" s="197"/>
      <c r="Y30" s="197"/>
      <c r="Z30" s="273"/>
      <c r="AA30" s="198"/>
      <c r="AB30" s="198"/>
      <c r="AC30" s="275"/>
      <c r="AD30" s="275"/>
      <c r="AE30" s="275"/>
      <c r="AF30" s="275"/>
      <c r="AG30" s="275"/>
      <c r="AH30" s="275" t="s">
        <v>1551</v>
      </c>
      <c r="AI30" s="275" t="s">
        <v>1273</v>
      </c>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row>
    <row r="31" spans="1:60">
      <c r="A31" s="3" t="e">
        <f>INDEX(Language!$D$6:$K$1231,1135,#REF!)</f>
        <v>#REF!</v>
      </c>
      <c r="E31" s="3" t="e">
        <f>INDEX(Language!$D$6:$K$1231,1175,#REF!)</f>
        <v>#REF!</v>
      </c>
      <c r="I31" s="193"/>
      <c r="M31" s="193" t="e">
        <f>"No data"&amp;"_"&amp;M$5</f>
        <v>#REF!</v>
      </c>
      <c r="AI31" s="10" t="s">
        <v>1552</v>
      </c>
      <c r="BG31"/>
      <c r="BH31"/>
    </row>
    <row r="32" spans="1:60">
      <c r="A32" s="10" t="e">
        <f>INDEX(Language!$D$6:$K$1231,1136,#REF!)</f>
        <v>#REF!</v>
      </c>
      <c r="E32" s="10" t="e">
        <f>INDEX(Language!$D$6:$K$1231,1176,#REF!)</f>
        <v>#REF!</v>
      </c>
      <c r="G32" s="10" t="s">
        <v>1553</v>
      </c>
      <c r="M32" s="193" t="s">
        <v>1246</v>
      </c>
      <c r="Q32" s="211"/>
      <c r="BG32"/>
      <c r="BH32"/>
    </row>
    <row r="33" spans="1:60">
      <c r="A33" s="10" t="e">
        <f>INDEX(Language!$D$6:$K$1231,1137,#REF!)</f>
        <v>#REF!</v>
      </c>
      <c r="B33" s="10">
        <v>1</v>
      </c>
      <c r="E33" s="10" t="e">
        <f>INDEX(Language!$D$6:$K$1231,1177,#REF!)</f>
        <v>#REF!</v>
      </c>
      <c r="G33" s="10" t="s">
        <v>1554</v>
      </c>
      <c r="M33" s="193" t="s">
        <v>1273</v>
      </c>
      <c r="O33" s="211"/>
      <c r="BG33"/>
      <c r="BH33"/>
    </row>
    <row r="34" spans="1:60">
      <c r="A34" s="10" t="e">
        <f>INDEX(Language!$D$6:$K$1231,1138,#REF!)</f>
        <v>#REF!</v>
      </c>
      <c r="B34" s="10">
        <v>2</v>
      </c>
      <c r="E34" s="10" t="e">
        <f>INDEX(Language!$D$6:$K$1231,1178,#REF!)</f>
        <v>#REF!</v>
      </c>
      <c r="G34" s="10" t="s">
        <v>1555</v>
      </c>
      <c r="M34" s="10" t="s">
        <v>607</v>
      </c>
      <c r="BG34"/>
      <c r="BH34"/>
    </row>
    <row r="35" spans="1:60">
      <c r="A35" s="10" t="e">
        <f>INDEX(Language!$D$6:$K$1231,1139,#REF!)</f>
        <v>#REF!</v>
      </c>
      <c r="B35" s="10">
        <v>3</v>
      </c>
      <c r="E35" s="10" t="e">
        <f>INDEX(Language!$D$6:$K$1231,1179,#REF!)</f>
        <v>#REF!</v>
      </c>
      <c r="H35" s="3"/>
      <c r="J35" s="10">
        <v>1</v>
      </c>
      <c r="K35" s="321" t="e">
        <f>VLOOKUP(1220,Language!$C$6:$K$5262,#REF!+1,FALSE)</f>
        <v>#REF!</v>
      </c>
      <c r="BG35"/>
      <c r="BH35"/>
    </row>
    <row r="36" spans="1:60">
      <c r="A36" s="10" t="e">
        <f>INDEX(Language!$D$6:$K$1231,1140,#REF!)</f>
        <v>#REF!</v>
      </c>
      <c r="B36" s="10">
        <v>4</v>
      </c>
      <c r="J36" s="10">
        <v>2</v>
      </c>
      <c r="K36" s="321" t="e">
        <f>VLOOKUP(1221,Language!$C$6:$K$5262,#REF!+1,FALSE)</f>
        <v>#REF!</v>
      </c>
      <c r="BG36"/>
      <c r="BH36"/>
    </row>
    <row r="37" spans="1:60">
      <c r="A37" s="10" t="e">
        <f>INDEX(Language!$D$6:$K$1231,1141,#REF!)</f>
        <v>#REF!</v>
      </c>
      <c r="B37" s="10">
        <v>5</v>
      </c>
      <c r="E37" s="10" t="e">
        <f>INDEX(Language!$D$6:$K$1231,1181,#REF!)</f>
        <v>#REF!</v>
      </c>
      <c r="J37" s="10">
        <v>3</v>
      </c>
      <c r="K37" s="321" t="e">
        <f>VLOOKUP(1222,Language!$C$6:$K$5262,#REF!+1,FALSE)</f>
        <v>#REF!</v>
      </c>
      <c r="BG37"/>
      <c r="BH37"/>
    </row>
    <row r="38" spans="1:60">
      <c r="A38" s="10" t="e">
        <f>INDEX(Language!$D$6:$K$1231,1142,#REF!)</f>
        <v>#REF!</v>
      </c>
      <c r="B38" s="10">
        <v>6</v>
      </c>
      <c r="E38" s="10" t="e">
        <f>INDEX(Language!$D$6:$K$1231,1182,#REF!)</f>
        <v>#REF!</v>
      </c>
      <c r="G38" s="10" t="e">
        <f>INDEX(Language!$D$6:$K$1231,466,#REF!)</f>
        <v>#REF!</v>
      </c>
      <c r="J38" s="10">
        <v>4</v>
      </c>
      <c r="K38" s="321" t="e">
        <f>VLOOKUP(1223,Language!$C$6:$K$5262,#REF!+1,FALSE)</f>
        <v>#REF!</v>
      </c>
      <c r="BG38"/>
      <c r="BH38"/>
    </row>
    <row r="39" spans="1:60">
      <c r="A39" s="10" t="e">
        <f>INDEX(Language!$D$6:$K$1231,1143,#REF!)</f>
        <v>#REF!</v>
      </c>
      <c r="B39" s="10">
        <v>7</v>
      </c>
      <c r="E39" s="10" t="e">
        <f>INDEX(Language!$D$6:$K$1231,1183,#REF!)</f>
        <v>#REF!</v>
      </c>
      <c r="G39" s="11" t="e">
        <f>VLOOKUP(464.2,Language!$C$6:$K$5262,#REF!+1,FALSE)</f>
        <v>#REF!</v>
      </c>
      <c r="J39" s="10">
        <v>5</v>
      </c>
      <c r="K39" s="321" t="e">
        <f>VLOOKUP(1224,Language!$C$6:$K$5262,#REF!+1,FALSE)</f>
        <v>#REF!</v>
      </c>
      <c r="BG39"/>
      <c r="BH39"/>
    </row>
    <row r="40" spans="1:60">
      <c r="A40" s="10" t="e">
        <f>INDEX(Language!$D$6:$K$1231,1144,#REF!)</f>
        <v>#REF!</v>
      </c>
      <c r="B40" s="10">
        <v>8</v>
      </c>
      <c r="G40" s="10" t="e">
        <f>VLOOKUP(464.3,Language!$C$6:$K$5262,#REF!+1,FALSE)</f>
        <v>#REF!</v>
      </c>
      <c r="J40" s="10">
        <v>6</v>
      </c>
      <c r="K40" s="321" t="e">
        <f>VLOOKUP(1225,Language!$C$6:$K$5262,#REF!+1,FALSE)</f>
        <v>#REF!</v>
      </c>
      <c r="BG40"/>
      <c r="BH40"/>
    </row>
    <row r="41" spans="1:60">
      <c r="A41" s="10" t="e">
        <f>INDEX(Language!$D$6:$K$1231,1145,#REF!)</f>
        <v>#REF!</v>
      </c>
      <c r="B41" s="10">
        <v>9</v>
      </c>
      <c r="E41" s="10" t="e">
        <f>INDEX(Language!$D$6:$K$1231,1185,#REF!)</f>
        <v>#REF!</v>
      </c>
      <c r="G41" s="10" t="e">
        <f>VLOOKUP(464.4,Language!$C$6:$K$5262,#REF!+1,FALSE)</f>
        <v>#REF!</v>
      </c>
      <c r="I41" s="10" t="e">
        <f>INDEX(Language!$D$6:$K$1231,1208,#REF!)</f>
        <v>#REF!</v>
      </c>
      <c r="J41" s="10">
        <v>7</v>
      </c>
      <c r="K41" s="321" t="e">
        <f>VLOOKUP(1226,Language!$C$6:$K$5262,#REF!+1,FALSE)</f>
        <v>#REF!</v>
      </c>
      <c r="BG41"/>
      <c r="BH41"/>
    </row>
    <row r="42" spans="1:60">
      <c r="A42" s="10" t="e">
        <f>INDEX(Language!$D$6:$K$1231,1146,#REF!)</f>
        <v>#REF!</v>
      </c>
      <c r="B42" s="10">
        <v>10</v>
      </c>
      <c r="E42" s="10" t="e">
        <f>INDEX(Language!$D$6:$K$1231,1186,#REF!)</f>
        <v>#REF!</v>
      </c>
      <c r="G42" s="10" t="e">
        <f>VLOOKUP(1812,Language!$C$6:$K$5262,#REF!+1,FALSE)</f>
        <v>#REF!</v>
      </c>
      <c r="I42" s="10" t="e">
        <f>INDEX(Language!$D$6:$K$1231,1209,#REF!)</f>
        <v>#REF!</v>
      </c>
      <c r="K42" s="321" t="e">
        <f>VLOOKUP(1227,Language!$C$6:$K$5262,#REF!+1,FALSE)</f>
        <v>#REF!</v>
      </c>
    </row>
    <row r="43" spans="1:60">
      <c r="A43" s="10" t="e">
        <f>INDEX(Language!$D$6:$K$1231,1147,#REF!)</f>
        <v>#REF!</v>
      </c>
      <c r="B43" s="10">
        <v>11</v>
      </c>
      <c r="G43" s="10" t="e">
        <f>INDEX(Language!$D$6:$K$1231,467,#REF!)</f>
        <v>#REF!</v>
      </c>
      <c r="K43" s="321"/>
    </row>
    <row r="44" spans="1:60">
      <c r="A44" s="10" t="e">
        <f>INDEX(Language!$D$6:$K$1231,1148,#REF!)</f>
        <v>#REF!</v>
      </c>
      <c r="B44" s="10">
        <v>12</v>
      </c>
      <c r="K44" s="321"/>
    </row>
    <row r="45" spans="1:60">
      <c r="A45" s="10" t="e">
        <f>INDEX(Language!$D$6:$K$1231,1149,#REF!)</f>
        <v>#REF!</v>
      </c>
      <c r="B45" s="10">
        <v>13</v>
      </c>
      <c r="E45" s="10" t="s">
        <v>1556</v>
      </c>
      <c r="I45" s="10" t="e">
        <f>INDEX(Language!$D$6:$K$1231,1212,#REF!)</f>
        <v>#REF!</v>
      </c>
    </row>
    <row r="46" spans="1:60">
      <c r="A46" s="10" t="e">
        <f>INDEX(Language!$D$6:$K$1231,1150,#REF!)</f>
        <v>#REF!</v>
      </c>
      <c r="B46" s="10">
        <v>14</v>
      </c>
      <c r="E46" s="10" t="s">
        <v>1557</v>
      </c>
      <c r="I46" s="10" t="e">
        <f>INDEX(Language!$D$6:$K$1231,1213,#REF!)</f>
        <v>#REF!</v>
      </c>
    </row>
    <row r="47" spans="1:60">
      <c r="A47" s="10" t="e">
        <f>INDEX(Language!$D$6:$K$1231,1151,#REF!)</f>
        <v>#REF!</v>
      </c>
      <c r="B47" s="10">
        <v>15</v>
      </c>
      <c r="E47" s="10" t="s">
        <v>1558</v>
      </c>
    </row>
    <row r="48" spans="1:60">
      <c r="A48" s="10">
        <v>0</v>
      </c>
      <c r="B48" s="10">
        <v>16</v>
      </c>
      <c r="E48" s="10" t="s">
        <v>1559</v>
      </c>
      <c r="I48" s="10" t="e">
        <f>INDEX(Language!$D$6:$K$1231,1215,#REF!)</f>
        <v>#REF!</v>
      </c>
      <c r="K48" s="10" t="e">
        <f>VLOOKUP(1814,Language!$C$6:$K$5262,#REF!+1,FALSE)</f>
        <v>#REF!</v>
      </c>
    </row>
    <row r="49" spans="1:11">
      <c r="A49" s="10">
        <v>0</v>
      </c>
      <c r="B49" s="10">
        <v>17</v>
      </c>
      <c r="E49" s="10" t="s">
        <v>1560</v>
      </c>
      <c r="I49" s="10" t="e">
        <f>INDEX(Language!$D$6:$K$1231,1216,#REF!)</f>
        <v>#REF!</v>
      </c>
      <c r="K49" s="10" t="e">
        <f>VLOOKUP(1815,Language!$C$6:$K$5262,#REF!+1,FALSE)</f>
        <v>#REF!</v>
      </c>
    </row>
    <row r="50" spans="1:11">
      <c r="A50" s="10" t="e">
        <f>INDEX(Language!$D$6:$K$1231,1154,#REF!)</f>
        <v>#REF!</v>
      </c>
      <c r="B50" s="10">
        <v>18</v>
      </c>
      <c r="E50" s="10" t="s">
        <v>1561</v>
      </c>
      <c r="K50" s="10" t="e">
        <f>VLOOKUP(1816,Language!$C$6:$K$5262,#REF!+1,FALSE)</f>
        <v>#REF!</v>
      </c>
    </row>
    <row r="51" spans="1:11">
      <c r="B51" s="10">
        <v>19</v>
      </c>
      <c r="E51" s="10" t="s">
        <v>1562</v>
      </c>
      <c r="I51" s="10" t="e">
        <f>INDEX(Language!$D$6:$K$1231,1218,#REF!)</f>
        <v>#REF!</v>
      </c>
      <c r="K51" s="10" t="e">
        <f>VLOOKUP(1817,Language!$C$6:$K$5262,#REF!+1,FALSE)</f>
        <v>#REF!</v>
      </c>
    </row>
    <row r="52" spans="1:11">
      <c r="E52" s="10" t="s">
        <v>1563</v>
      </c>
      <c r="I52" s="10" t="e">
        <f>INDEX(Language!$D$6:$K$1231,1219,#REF!)</f>
        <v>#REF!</v>
      </c>
      <c r="K52" s="10" t="e">
        <f>VLOOKUP(1818,Language!$C$6:$K$5262,#REF!+1,FALSE)</f>
        <v>#REF!</v>
      </c>
    </row>
    <row r="53" spans="1:11">
      <c r="E53" s="10" t="s">
        <v>116</v>
      </c>
      <c r="K53" s="10" t="e">
        <f>VLOOKUP(1819,Language!$C$6:$K$5262,#REF!+1,FALSE)</f>
        <v>#REF!</v>
      </c>
    </row>
    <row r="54" spans="1:11">
      <c r="A54" s="3" t="e">
        <f>INDEX(Language!$D$6:$K$1231,1156,#REF!)</f>
        <v>#REF!</v>
      </c>
      <c r="K54" s="10" t="e">
        <f>VLOOKUP(1820,Language!$C$6:$K$5262,#REF!+1,FALSE)</f>
        <v>#REF!</v>
      </c>
    </row>
    <row r="55" spans="1:11">
      <c r="A55" s="184" t="e">
        <f>INDEX(Language!$D$6:$K$1231,1157,#REF!)</f>
        <v>#REF!</v>
      </c>
      <c r="K55" s="10" t="e">
        <f>VLOOKUP(1821,Language!$C$6:$K$5262,#REF!+1,FALSE)</f>
        <v>#REF!</v>
      </c>
    </row>
    <row r="56" spans="1:11">
      <c r="A56" s="184" t="e">
        <f>INDEX(Language!$D$6:$K$1231,1158,#REF!)</f>
        <v>#REF!</v>
      </c>
      <c r="E56" s="10" t="e">
        <f>INDEX(Language!$D$6:$K$1231,1188,#REF!)</f>
        <v>#REF!</v>
      </c>
      <c r="F56" s="11" t="e">
        <f>VLOOKUP(463.1,Language!$C$6:$K$5262,#REF!+1,FALSE)</f>
        <v>#REF!</v>
      </c>
      <c r="G56" s="10" t="e">
        <f>VLOOKUP(1763,Language!$C$6:$K$5262,#REF!+1,FALSE)</f>
        <v>#REF!</v>
      </c>
      <c r="I56" s="10" t="e">
        <f>INDEX(Language!$D$6:$K$1231,456,#REF!)</f>
        <v>#REF!</v>
      </c>
      <c r="K56" s="10" t="e">
        <f>VLOOKUP(1822,Language!$C$6:$K$5262,#REF!+1,FALSE)</f>
        <v>#REF!</v>
      </c>
    </row>
    <row r="57" spans="1:11">
      <c r="A57" s="184" t="e">
        <f>INDEX(Language!$D$6:$K$1231,1159,#REF!)</f>
        <v>#REF!</v>
      </c>
      <c r="E57" s="10" t="e">
        <f>INDEX(Language!$D$6:$K$1231,1189,#REF!)</f>
        <v>#REF!</v>
      </c>
      <c r="F57" s="11" t="e">
        <f>VLOOKUP(463.2,Language!$C$6:$K$5262,#REF!+1,FALSE)</f>
        <v>#REF!</v>
      </c>
      <c r="G57" s="10" t="e">
        <f>VLOOKUP(1764,Language!$C$6:$K$5262,#REF!+1,FALSE)</f>
        <v>#REF!</v>
      </c>
      <c r="I57" s="10" t="e">
        <f>INDEX(Language!$D$6:$K$1231,457,#REF!)</f>
        <v>#REF!</v>
      </c>
      <c r="K57" s="10" t="e">
        <f>VLOOKUP(1823,Language!$C$6:$K$5262,#REF!+1,FALSE)</f>
        <v>#REF!</v>
      </c>
    </row>
    <row r="58" spans="1:11">
      <c r="A58" s="184" t="e">
        <f>INDEX(Language!$D$6:$K$1231,1160,#REF!)</f>
        <v>#REF!</v>
      </c>
      <c r="E58" s="10" t="e">
        <f>INDEX(Language!$D$6:$K$1231,1190,#REF!)</f>
        <v>#REF!</v>
      </c>
      <c r="F58" s="10" t="e">
        <f>VLOOKUP(1756,Language!$C$6:$K$5262,#REF!+1,FALSE)</f>
        <v>#REF!</v>
      </c>
      <c r="G58" s="10" t="e">
        <f>VLOOKUP(1765,Language!$C$6:$K$5262,#REF!+1,FALSE)</f>
        <v>#REF!</v>
      </c>
      <c r="I58" s="10" t="e">
        <f>INDEX(Language!$D$6:$K$1231,458,#REF!)</f>
        <v>#REF!</v>
      </c>
    </row>
    <row r="59" spans="1:11">
      <c r="A59" s="184" t="e">
        <f>INDEX(Language!$D$6:$K$1231,1161,#REF!)</f>
        <v>#REF!</v>
      </c>
      <c r="I59" s="10" t="e">
        <f>INDEX(Language!$D$6:$K$1231,459,#REF!)</f>
        <v>#REF!</v>
      </c>
    </row>
    <row r="60" spans="1:11">
      <c r="A60" s="184" t="e">
        <f>INDEX(Language!$D$6:$K$1231,1162,#REF!)</f>
        <v>#REF!</v>
      </c>
      <c r="E60" s="10" t="e">
        <f>INDEX(Language!$D$6:$K$1231,1192,#REF!)</f>
        <v>#REF!</v>
      </c>
      <c r="F60" s="10" t="e">
        <f>INDEX(Language!$D$6:$K$1231,318,#REF!)</f>
        <v>#REF!</v>
      </c>
      <c r="I60" s="10" t="e">
        <f>INDEX(Language!$D$6:$K$1231,460,#REF!)</f>
        <v>#REF!</v>
      </c>
    </row>
    <row r="61" spans="1:11">
      <c r="A61" s="184" t="e">
        <f>INDEX(Language!$D$6:$K$1231,1163,#REF!)</f>
        <v>#REF!</v>
      </c>
      <c r="E61" s="10" t="e">
        <f>INDEX(Language!$D$6:$K$1231,1193,#REF!)</f>
        <v>#REF!</v>
      </c>
      <c r="F61" s="10" t="e">
        <f>INDEX(Language!$D$6:$K$1231,319,#REF!)</f>
        <v>#REF!</v>
      </c>
      <c r="I61" s="10" t="e">
        <f>INDEX(Language!$D$6:$K$1231,461,#REF!)</f>
        <v>#REF!</v>
      </c>
    </row>
    <row r="62" spans="1:11">
      <c r="A62" s="184" t="e">
        <f>INDEX(Language!$D$6:$K$1231,1164,#REF!)</f>
        <v>#REF!</v>
      </c>
      <c r="E62" s="10" t="e">
        <f>INDEX(Language!$D$6:$K$1231,1194,#REF!)</f>
        <v>#REF!</v>
      </c>
      <c r="F62" s="10" t="e">
        <f>INDEX(Language!$D$6:$K$1231,320,#REF!)</f>
        <v>#REF!</v>
      </c>
      <c r="I62" s="10" t="e">
        <f>INDEX(Language!$D$6:$K$1231,462,#REF!)</f>
        <v>#REF!</v>
      </c>
      <c r="K62" s="10" t="e">
        <f>VLOOKUP(1824,Language!$C$6:$K$5262,#REF!+1,FALSE)</f>
        <v>#REF!</v>
      </c>
    </row>
    <row r="63" spans="1:11">
      <c r="A63" s="184" t="e">
        <f>INDEX(Language!$D$6:$K$1231,1165,#REF!)</f>
        <v>#REF!</v>
      </c>
      <c r="E63" s="10" t="e">
        <f>INDEX(Language!$D$6:$K$1231,1195,#REF!)</f>
        <v>#REF!</v>
      </c>
      <c r="F63" s="10" t="e">
        <f>INDEX(Language!$D$6:$K$1231,321,#REF!)</f>
        <v>#REF!</v>
      </c>
      <c r="I63" s="10" t="e">
        <f>INDEX(Language!$D$6:$K$1231,322,#REF!)</f>
        <v>#REF!</v>
      </c>
      <c r="K63" s="10" t="e">
        <f>VLOOKUP(1825,Language!$C$6:$K$5262,#REF!+1,FALSE)</f>
        <v>#REF!</v>
      </c>
    </row>
    <row r="64" spans="1:11">
      <c r="A64" s="184" t="e">
        <f>INDEX(Language!$D$6:$K$1231,1166,#REF!)</f>
        <v>#REF!</v>
      </c>
      <c r="E64" s="10" t="e">
        <f>INDEX(Language!$D$6:$K$1231,1188,#REF!)</f>
        <v>#REF!</v>
      </c>
      <c r="F64" s="10" t="e">
        <f>INDEX(Language!$D$6:$K$1231,322,#REF!)</f>
        <v>#REF!</v>
      </c>
      <c r="K64" s="10" t="e">
        <f>VLOOKUP(1826,Language!$C$6:$K$5262,#REF!+1,FALSE)</f>
        <v>#REF!</v>
      </c>
    </row>
    <row r="65" spans="1:11">
      <c r="A65" s="184" t="e">
        <f>INDEX(Language!$D$6:$K$1231,1167,#REF!)</f>
        <v>#REF!</v>
      </c>
      <c r="E65" s="10" t="e">
        <f>INDEX(Language!$D$6:$K$1231,322,#REF!)</f>
        <v>#REF!</v>
      </c>
      <c r="K65" s="10" t="e">
        <f>VLOOKUP(1827,Language!$C$6:$K$5262,#REF!+1,FALSE)</f>
        <v>#REF!</v>
      </c>
    </row>
    <row r="66" spans="1:11" ht="13.5" thickBot="1">
      <c r="A66" s="322" t="e">
        <f>INDEX(Language!$D$6:$K$1231,1168,#REF!)</f>
        <v>#REF!</v>
      </c>
      <c r="K66" s="10" t="e">
        <f>VLOOKUP(1828,Language!$C$6:$K$5262,#REF!+1,FALSE)</f>
        <v>#REF!</v>
      </c>
    </row>
    <row r="67" spans="1:11" ht="13.5" thickTop="1">
      <c r="G67" s="10" t="e">
        <f>E60</f>
        <v>#REF!</v>
      </c>
      <c r="K67" s="10" t="e">
        <f>VLOOKUP(1829,Language!$C$6:$K$5262,#REF!+1,FALSE)</f>
        <v>#REF!</v>
      </c>
    </row>
    <row r="68" spans="1:11">
      <c r="A68" s="3" t="e">
        <f>INDEX(Language!$D$6:$K$1231,1170,#REF!)</f>
        <v>#REF!</v>
      </c>
      <c r="G68" s="10" t="e">
        <f>E61</f>
        <v>#REF!</v>
      </c>
      <c r="K68" s="10" t="e">
        <f>VLOOKUP(1830,Language!$C$6:$K$5262,#REF!+1,FALSE)</f>
        <v>#REF!</v>
      </c>
    </row>
    <row r="69" spans="1:11">
      <c r="A69" s="184" t="e">
        <f>INDEX(Language!$D$6:$K$1231,1171,#REF!)</f>
        <v>#REF!</v>
      </c>
      <c r="E69" s="3" t="e">
        <f>INDEX(Language!$D$6:$K$1231,1198,#REF!)</f>
        <v>#REF!</v>
      </c>
      <c r="F69" s="184" t="s">
        <v>1564</v>
      </c>
      <c r="G69" s="10" t="e">
        <f>E62</f>
        <v>#REF!</v>
      </c>
      <c r="K69" s="10" t="e">
        <f>VLOOKUP(1831,Language!$C$6:$K$5262,#REF!+1,FALSE)</f>
        <v>#REF!</v>
      </c>
    </row>
    <row r="70" spans="1:11">
      <c r="A70" s="184" t="e">
        <f>INDEX(Language!$D$6:$K$1231,1172,#REF!)</f>
        <v>#REF!</v>
      </c>
      <c r="E70" s="11"/>
      <c r="F70" s="184" t="s">
        <v>1565</v>
      </c>
      <c r="G70" s="10" t="e">
        <f>E63</f>
        <v>#REF!</v>
      </c>
    </row>
    <row r="71" spans="1:11">
      <c r="A71" s="184" t="s">
        <v>1566</v>
      </c>
      <c r="E71" s="11" t="e">
        <f>INDEX(Language!$D$6:$K$1231,1199,#REF!)</f>
        <v>#REF!</v>
      </c>
      <c r="F71" s="184" t="s">
        <v>1567</v>
      </c>
      <c r="G71" s="10" t="e">
        <f>E65</f>
        <v>#REF!</v>
      </c>
      <c r="I71" s="10" t="e">
        <f>VLOOKUP(1836,Language!$C$6:$K$5262,#REF!+1,FALSE)</f>
        <v>#REF!</v>
      </c>
    </row>
    <row r="72" spans="1:11">
      <c r="E72" s="10" t="e">
        <f>INDEX(Language!$D$6:$K$1231,1200,#REF!)</f>
        <v>#REF!</v>
      </c>
      <c r="F72" s="10" t="s">
        <v>1568</v>
      </c>
      <c r="I72" s="10" t="e">
        <f>VLOOKUP(1837,Language!$C$6:$K$5262,#REF!+1,FALSE)</f>
        <v>#REF!</v>
      </c>
    </row>
    <row r="73" spans="1:11">
      <c r="E73" s="10" t="e">
        <f>INDEX(Language!$D$6:$K$1231,1201,#REF!)</f>
        <v>#REF!</v>
      </c>
      <c r="I73" s="10" t="e">
        <f>VLOOKUP(1838,Language!$C$6:$K$5262,#REF!+1,FALSE)</f>
        <v>#REF!</v>
      </c>
    </row>
    <row r="74" spans="1:11">
      <c r="E74" s="10" t="e">
        <f>INDEX(Language!$D$6:$K$1231,1202,#REF!)</f>
        <v>#REF!</v>
      </c>
      <c r="K74" s="10" t="e">
        <f>VLOOKUP(1860,Language!$C$6:$K$5262,#REF!+1,FALSE)</f>
        <v>#REF!</v>
      </c>
    </row>
    <row r="75" spans="1:11">
      <c r="E75" s="10" t="e">
        <f>INDEX(Language!$D$6:$K$1231,349,#REF!)</f>
        <v>#REF!</v>
      </c>
      <c r="K75" s="10" t="e">
        <f>VLOOKUP(1861,Language!$C$6:$K$5262,#REF!+1,FALSE)</f>
        <v>#REF!</v>
      </c>
    </row>
    <row r="76" spans="1:11">
      <c r="E76" s="10" t="e">
        <f>INDEX(Language!$D$6:$K$1231,350,#REF!)</f>
        <v>#REF!</v>
      </c>
      <c r="G76" s="184" t="e">
        <f>INDEX(Language!$D$6:$K$1998,1710,#REF!)</f>
        <v>#REF!</v>
      </c>
      <c r="K76" s="10" t="e">
        <f>VLOOKUP(1862,Language!$C$6:$K$5262,#REF!+1,FALSE)</f>
        <v>#REF!</v>
      </c>
    </row>
    <row r="77" spans="1:11">
      <c r="E77" s="10" t="e">
        <f>INDEX(Language!$D$6:$K$1231,351,#REF!)</f>
        <v>#REF!</v>
      </c>
      <c r="G77" s="184" t="e">
        <f>INDEX(Language!$D$6:$K$1998,1711,#REF!)</f>
        <v>#REF!</v>
      </c>
      <c r="K77" s="10" t="e">
        <f>VLOOKUP(1863,Language!$C$6:$K$5262,#REF!+1,FALSE)</f>
        <v>#REF!</v>
      </c>
    </row>
    <row r="78" spans="1:11">
      <c r="E78" s="10" t="e">
        <f>INDEX(Language!$D$6:$K$1231,352,#REF!)</f>
        <v>#REF!</v>
      </c>
      <c r="G78" s="184" t="e">
        <f>INDEX(Language!$D$6:$K$1998,1712,#REF!)</f>
        <v>#REF!</v>
      </c>
      <c r="K78" s="10" t="e">
        <f>VLOOKUP(1864,Language!$C$6:$K$5262,#REF!+1,FALSE)</f>
        <v>#REF!</v>
      </c>
    </row>
    <row r="79" spans="1:11">
      <c r="G79" s="184" t="e">
        <f>INDEX(Language!$D$6:$K$1998,1713,#REF!)</f>
        <v>#REF!</v>
      </c>
      <c r="K79" s="10" t="e">
        <f>VLOOKUP(1865,Language!$C$6:$K$5262,#REF!+1,FALSE)</f>
        <v>#REF!</v>
      </c>
    </row>
    <row r="80" spans="1:11">
      <c r="K80" s="10" t="e">
        <f>VLOOKUP(1866,Language!$C$6:$K$5262,#REF!+1,FALSE)</f>
        <v>#REF!</v>
      </c>
    </row>
    <row r="81" spans="1:11">
      <c r="A81" s="177" t="e">
        <f>VLOOKUP(1229,Language!$C$6:$K$5262,#REF!+1,FALSE)</f>
        <v>#REF!</v>
      </c>
      <c r="E81" s="190" t="e">
        <f>VLOOKUP(492.1,Language!$C$6:$K$5262,#REF!+1,FALSE)</f>
        <v>#REF!</v>
      </c>
      <c r="K81" s="10" t="e">
        <f>VLOOKUP(1867,Language!$C$6:$K$5262,#REF!+1,FALSE)</f>
        <v>#REF!</v>
      </c>
    </row>
    <row r="82" spans="1:11">
      <c r="A82" s="177" t="e">
        <f>VLOOKUP(1230,Language!$C$6:$K$5262,#REF!+1,FALSE)</f>
        <v>#REF!</v>
      </c>
      <c r="E82" s="190" t="e">
        <f>VLOOKUP(492.2,Language!$C$6:$K$5262,#REF!+1,FALSE)</f>
        <v>#REF!</v>
      </c>
      <c r="H82" s="10" t="e">
        <f>VLOOKUP(1869,Language!$C$6:$K$5262,#REF!+1,FALSE)</f>
        <v>#REF!</v>
      </c>
      <c r="K82" s="10" t="e">
        <f>VLOOKUP(1868,Language!$C$6:$K$5262,#REF!+1,FALSE)</f>
        <v>#REF!</v>
      </c>
    </row>
    <row r="83" spans="1:11">
      <c r="A83" s="177" t="e">
        <f>VLOOKUP(1231,Language!$C$6:$K$5262,#REF!+1,FALSE)</f>
        <v>#REF!</v>
      </c>
      <c r="E83" s="190" t="e">
        <f>VLOOKUP(492.3,Language!$C$6:$K$5262,#REF!+1,FALSE)</f>
        <v>#REF!</v>
      </c>
      <c r="H83" s="10" t="e">
        <f>VLOOKUP(1870,Language!$C$6:$K$5262,#REF!+1,FALSE)</f>
        <v>#REF!</v>
      </c>
    </row>
    <row r="84" spans="1:11">
      <c r="E84" s="190" t="e">
        <f>VLOOKUP(492.4,Language!$C$6:$K$5262,#REF!+1,FALSE)</f>
        <v>#REF!</v>
      </c>
    </row>
    <row r="85" spans="1:11">
      <c r="E85" s="190" t="e">
        <f>VLOOKUP(492.5,Language!$C$6:$K$5262,#REF!+1,FALSE)</f>
        <v>#REF!</v>
      </c>
    </row>
    <row r="86" spans="1:11">
      <c r="A86" s="10" t="e">
        <f>VLOOKUP(426.1,Language!$C$6:$K$5262,#REF!+1,FALSE)</f>
        <v>#REF!</v>
      </c>
    </row>
    <row r="87" spans="1:11">
      <c r="A87" s="10" t="e">
        <f>VLOOKUP(426.2,Language!$C$6:$K$5262,#REF!+1,FALSE)</f>
        <v>#REF!</v>
      </c>
    </row>
    <row r="88" spans="1:11">
      <c r="A88" s="10" t="e">
        <f>VLOOKUP(1450,Language!$C$6:$K$5262,#REF!+1,FALSE)</f>
        <v>#REF!</v>
      </c>
    </row>
    <row r="89" spans="1:11">
      <c r="A89" s="10" t="e">
        <f>VLOOKUP(426.3,Language!$C$6:$K$5262,#REF!+1,FALSE)</f>
        <v>#REF!</v>
      </c>
      <c r="F89" s="189"/>
    </row>
    <row r="90" spans="1:11">
      <c r="F90" s="189"/>
    </row>
    <row r="91" spans="1:11">
      <c r="A91" s="177" t="e">
        <f>INDEX(Language!$D$6:$K$1251,1233,#REF!)</f>
        <v>#REF!</v>
      </c>
      <c r="F91" s="189"/>
    </row>
    <row r="92" spans="1:11">
      <c r="A92" s="177" t="e">
        <f>INDEX(Language!$D$6:$K$1251,1234,#REF!)</f>
        <v>#REF!</v>
      </c>
      <c r="F92" s="189"/>
    </row>
    <row r="93" spans="1:11">
      <c r="A93" s="177" t="e">
        <f>INDEX(Language!$D$6:$K$1251,1235,#REF!)</f>
        <v>#REF!</v>
      </c>
      <c r="F93" s="189"/>
    </row>
    <row r="94" spans="1:11">
      <c r="A94" s="177" t="e">
        <f>INDEX(Language!$D$6:$K$1251,1236,#REF!)</f>
        <v>#REF!</v>
      </c>
      <c r="F94" s="189"/>
    </row>
    <row r="95" spans="1:11">
      <c r="A95" s="177" t="e">
        <f>INDEX(Language!$D$6:$K$1251,1237,#REF!)</f>
        <v>#REF!</v>
      </c>
      <c r="F95" s="189"/>
    </row>
    <row r="96" spans="1:11">
      <c r="F96" s="189"/>
    </row>
    <row r="97" spans="1:6" ht="15.75" customHeight="1">
      <c r="F97" s="189"/>
    </row>
    <row r="98" spans="1:6">
      <c r="F98" s="189"/>
    </row>
    <row r="99" spans="1:6">
      <c r="A99" s="10" t="s">
        <v>1569</v>
      </c>
      <c r="F99" s="189"/>
    </row>
    <row r="100" spans="1:6">
      <c r="A100" s="10" t="s">
        <v>1570</v>
      </c>
    </row>
    <row r="101" spans="1:6">
      <c r="A101" s="10" t="s">
        <v>1571</v>
      </c>
    </row>
    <row r="102" spans="1:6">
      <c r="A102" s="10" t="s">
        <v>1572</v>
      </c>
      <c r="E102" s="191" t="e">
        <f>VLOOKUP(493.1,Language!$C$6:$K$5262,#REF!+1,FALSE)</f>
        <v>#REF!</v>
      </c>
    </row>
    <row r="103" spans="1:6">
      <c r="A103" s="10" t="s">
        <v>1573</v>
      </c>
      <c r="E103" s="191" t="e">
        <f>VLOOKUP(493.2,Language!$C$6:$K$5262,#REF!+1,FALSE)</f>
        <v>#REF!</v>
      </c>
    </row>
    <row r="104" spans="1:6">
      <c r="A104" s="10" t="s">
        <v>1574</v>
      </c>
      <c r="E104" s="191" t="e">
        <f>VLOOKUP(493.3,Language!$C$6:$K$5262,#REF!+1,FALSE)</f>
        <v>#REF!</v>
      </c>
    </row>
    <row r="105" spans="1:6">
      <c r="A105" s="10" t="s">
        <v>1575</v>
      </c>
      <c r="E105" s="191" t="e">
        <f>VLOOKUP(493.4,Language!$C$6:$K$5262,#REF!+1,FALSE)</f>
        <v>#REF!</v>
      </c>
    </row>
    <row r="106" spans="1:6">
      <c r="A106" s="10" t="s">
        <v>1576</v>
      </c>
    </row>
    <row r="107" spans="1:6">
      <c r="A107" s="10" t="s">
        <v>1577</v>
      </c>
    </row>
    <row r="108" spans="1:6">
      <c r="A108" s="10" t="s">
        <v>1578</v>
      </c>
    </row>
    <row r="109" spans="1:6">
      <c r="A109" s="10" t="s">
        <v>1579</v>
      </c>
    </row>
    <row r="110" spans="1:6">
      <c r="A110" s="10" t="s">
        <v>1580</v>
      </c>
    </row>
    <row r="111" spans="1:6">
      <c r="A111" s="10" t="s">
        <v>1581</v>
      </c>
    </row>
    <row r="112" spans="1:6">
      <c r="A112" s="10" t="s">
        <v>1582</v>
      </c>
    </row>
    <row r="113" spans="1:38">
      <c r="A113" s="10" t="s">
        <v>1583</v>
      </c>
    </row>
    <row r="114" spans="1:38">
      <c r="A114" s="10" t="s">
        <v>1584</v>
      </c>
    </row>
    <row r="115" spans="1:38">
      <c r="A115" s="10" t="s">
        <v>1585</v>
      </c>
    </row>
    <row r="116" spans="1:38">
      <c r="A116" s="10" t="s">
        <v>1586</v>
      </c>
    </row>
    <row r="117" spans="1:38">
      <c r="A117" s="10" t="s">
        <v>1587</v>
      </c>
    </row>
    <row r="123" spans="1:38">
      <c r="A123" s="10" t="e">
        <f>VLOOKUP(1156.5,Language!$C$6:$K$5262,#REF!+1,FALSE)</f>
        <v>#REF!</v>
      </c>
    </row>
    <row r="124" spans="1:38">
      <c r="A124" s="10" t="e">
        <f>VLOOKUP(1157,Language!$C$6:$K$5262,#REF!+1,FALSE)</f>
        <v>#REF!</v>
      </c>
    </row>
    <row r="125" spans="1:38" ht="13.5" thickBot="1">
      <c r="A125" s="10" t="e">
        <f>VLOOKUP(1158,Language!$C$6:$K$5262,#REF!+1,FALSE)</f>
        <v>#REF!</v>
      </c>
      <c r="D125" s="10" t="s">
        <v>1588</v>
      </c>
    </row>
    <row r="126" spans="1:38" ht="13.5" thickBot="1">
      <c r="A126" s="10" t="e">
        <f>VLOOKUP(1158.5,Language!$C$6:$K$5262,#REF!+1,FALSE)</f>
        <v>#REF!</v>
      </c>
      <c r="D126" s="201" t="e">
        <f>INDEX(Language!$D$6:$K$1231,1111,#REF!)</f>
        <v>#REF!</v>
      </c>
      <c r="E126" s="202" t="e">
        <f>INDEX(Language!$D$6:$K$1231,1112,#REF!)</f>
        <v>#REF!</v>
      </c>
      <c r="F126" s="202" t="e">
        <f>INDEX(Language!$D$6:$K$1231,1113,#REF!)</f>
        <v>#REF!</v>
      </c>
      <c r="G126" s="202" t="e">
        <f>INDEX(Language!$D$6:$K$1231,1114,#REF!)</f>
        <v>#REF!</v>
      </c>
      <c r="H126" s="202" t="e">
        <f>INDEX(Language!$D$6:$K$1231,1115,#REF!)</f>
        <v>#REF!</v>
      </c>
      <c r="I126" s="202" t="e">
        <f>INDEX(Language!$D$6:$K$1231,1116,#REF!)</f>
        <v>#REF!</v>
      </c>
      <c r="J126" s="202" t="e">
        <f>INDEX(Language!$D$6:$K$1231,1117,#REF!)</f>
        <v>#REF!</v>
      </c>
      <c r="K126" s="202" t="e">
        <f>INDEX(Language!$D$6:$K$1231,1118,#REF!)</f>
        <v>#REF!</v>
      </c>
      <c r="L126" s="202" t="e">
        <f>INDEX(Language!$D$6:$K$1231,1119,#REF!)</f>
        <v>#REF!</v>
      </c>
      <c r="M126" s="202" t="e">
        <f>INDEX(Language!$D$6:$K$1231,1120,#REF!)</f>
        <v>#REF!</v>
      </c>
      <c r="N126" s="202" t="e">
        <f>INDEX(Language!$D$6:$K$1231,1121,#REF!)</f>
        <v>#REF!</v>
      </c>
      <c r="O126" s="202" t="e">
        <f>INDEX(Language!$D$6:$K$1231,1122,#REF!)</f>
        <v>#REF!</v>
      </c>
      <c r="P126" s="202" t="e">
        <f>INDEX(Language!$D$6:$K$1231,1123,#REF!)</f>
        <v>#REF!</v>
      </c>
      <c r="Q126" s="202" t="e">
        <f>INDEX(Language!$D$6:$K$1231,1124,#REF!)</f>
        <v>#REF!</v>
      </c>
      <c r="R126" s="202" t="e">
        <f>INDEX(Language!$D$6:$K$1231,1125,#REF!)</f>
        <v>#REF!</v>
      </c>
      <c r="S126" s="202" t="e">
        <f>INDEX(Language!$D$6:$K$1231,1126,#REF!)</f>
        <v>#REF!</v>
      </c>
      <c r="T126" s="202" t="e">
        <f>INDEX(Language!$D$6:$K$1231,1127,#REF!)</f>
        <v>#REF!</v>
      </c>
      <c r="U126" s="202" t="e">
        <f>INDEX(Language!$D$6:$K$1231,1128,#REF!)</f>
        <v>#REF!</v>
      </c>
      <c r="V126" s="202" t="e">
        <f>INDEX(Language!$D$6:$K$1231,1129,#REF!)</f>
        <v>#REF!</v>
      </c>
      <c r="W126" s="202" t="e">
        <f>INDEX(Language!$D$6:$K$1231,1130,#REF!)</f>
        <v>#REF!</v>
      </c>
      <c r="X126" s="202" t="e">
        <f>INDEX(Language!$D$6:$K$1231,1131,#REF!)</f>
        <v>#REF!</v>
      </c>
      <c r="Y126" s="202" t="e">
        <f>INDEX(Language!$D$6:$K$1231,1132,#REF!)</f>
        <v>#REF!</v>
      </c>
      <c r="Z126" s="203" t="e">
        <f>INDEX(Language!$D$6:$K$1231,1133,#REF!)</f>
        <v>#REF!</v>
      </c>
      <c r="AA126" s="274" t="e">
        <f>INDEX(Language!$D$6:$K$1231,1134,#REF!)</f>
        <v>#REF!</v>
      </c>
      <c r="AB126" s="203" t="e">
        <f>INDEX(Language!$D$6:$K$1998,1719,#REF!)</f>
        <v>#REF!</v>
      </c>
      <c r="AC126" s="203" t="e">
        <f>INDEX(Language!$D$6:$K$1998,1718,#REF!)</f>
        <v>#REF!</v>
      </c>
      <c r="AD126" s="203" t="e">
        <f>INDEX(Language!$D$6:$K$1998,1716,#REF!)</f>
        <v>#REF!</v>
      </c>
      <c r="AE126" s="203" t="e">
        <f>INDEX(Language!$D$6:$K$2227,1731,#REF!)</f>
        <v>#REF!</v>
      </c>
      <c r="AF126" s="203" t="e">
        <f>INDEX(Language!$D$6:$K$2227,1730,#REF!)</f>
        <v>#REF!</v>
      </c>
      <c r="AG126" s="203" t="e">
        <f>INDEX(Language!$D$6:$K$2227,1729,#REF!)</f>
        <v>#REF!</v>
      </c>
      <c r="AH126" s="203" t="e">
        <f>INDEX(Language!$D$6:$K$2227,1727,#REF!)</f>
        <v>#REF!</v>
      </c>
      <c r="AI126" s="203" t="e">
        <f>INDEX(Language!$D$6:$K$2227,1733,#REF!)</f>
        <v>#REF!</v>
      </c>
      <c r="AJ126" s="203" t="e">
        <f>INDEX(Language!$D$6:$K$2227,1734,#REF!)</f>
        <v>#REF!</v>
      </c>
      <c r="AK126" s="203" t="e">
        <f>INDEX(Language!$D$6:$K$2227,1735,#REF!)</f>
        <v>#REF!</v>
      </c>
      <c r="AL126" s="203" t="e">
        <f>INDEX(Language!$D$6:$K$2227,1736,#REF!)</f>
        <v>#REF!</v>
      </c>
    </row>
    <row r="127" spans="1:38">
      <c r="A127" s="10" t="e">
        <f>VLOOKUP(1159,Language!$C$6:$K$5262,#REF!+1,FALSE)</f>
        <v>#REF!</v>
      </c>
      <c r="D127" s="199" t="str">
        <f t="shared" ref="D127:D135" si="5">D6</f>
        <v>ACT</v>
      </c>
      <c r="E127" s="199" t="str">
        <f t="shared" ref="E127:Z139" si="6">E6</f>
        <v>Burgenland</v>
      </c>
      <c r="F127" s="199" t="str">
        <f t="shared" si="6"/>
        <v>Brussels Hoofdstedelijk Gewest</v>
      </c>
      <c r="G127" s="199" t="str">
        <f t="shared" si="6"/>
        <v>Canada</v>
      </c>
      <c r="H127" s="199" t="s">
        <v>1184</v>
      </c>
      <c r="I127" s="199" t="str">
        <f t="shared" si="6"/>
        <v>Auvergne-Rhône-Alpes</v>
      </c>
      <c r="J127" s="199" t="str">
        <f t="shared" si="6"/>
        <v>Baden-Württemberg</v>
      </c>
      <c r="K127" s="199" t="str">
        <f t="shared" si="6"/>
        <v>Attiki (including Athens)</v>
      </c>
      <c r="L127" s="199" t="str">
        <f t="shared" si="6"/>
        <v>Budapest</v>
      </c>
      <c r="M127" s="323" t="s">
        <v>1327</v>
      </c>
      <c r="N127" s="199" t="str">
        <f t="shared" si="6"/>
        <v>ABRUZZO</v>
      </c>
      <c r="O127" s="199" t="str">
        <f t="shared" si="6"/>
        <v>Japan</v>
      </c>
      <c r="P127" s="199" t="s">
        <v>1191</v>
      </c>
      <c r="Q127" s="199" t="str">
        <f>Q6</f>
        <v>Viken</v>
      </c>
      <c r="R127" s="199" t="str">
        <f t="shared" si="6"/>
        <v>Dolnoslaskie</v>
      </c>
      <c r="S127" s="199" t="str">
        <f t="shared" si="6"/>
        <v>Lisbon city</v>
      </c>
      <c r="T127" s="199" t="str">
        <f t="shared" si="6"/>
        <v>Uusimaa</v>
      </c>
      <c r="U127" s="199" t="str">
        <f t="shared" si="6"/>
        <v>Andalucia</v>
      </c>
      <c r="V127" s="199" t="str">
        <f t="shared" si="6"/>
        <v>Stor-Göteborg</v>
      </c>
      <c r="W127" s="199" t="str">
        <f t="shared" si="6"/>
        <v>Lake Geneva Area</v>
      </c>
      <c r="X127" s="199" t="str">
        <f t="shared" si="6"/>
        <v>North</v>
      </c>
      <c r="Y127" s="199" t="str">
        <f t="shared" si="6"/>
        <v>Capital Area</v>
      </c>
      <c r="Z127" s="199" t="e">
        <f t="shared" si="6"/>
        <v>#REF!</v>
      </c>
      <c r="AA127" s="275" t="str">
        <f t="shared" ref="AA127:AA141" si="7">AA6</f>
        <v>Prague-East &amp; Prague-West</v>
      </c>
      <c r="AB127" s="275" t="s">
        <v>1202</v>
      </c>
      <c r="AC127" s="275" t="s">
        <v>1203</v>
      </c>
      <c r="AD127" s="275" t="s">
        <v>1204</v>
      </c>
      <c r="AE127" s="275" t="s">
        <v>1205</v>
      </c>
      <c r="AF127" s="275" t="s">
        <v>1207</v>
      </c>
      <c r="AG127" s="275" t="s">
        <v>1206</v>
      </c>
      <c r="AH127" s="275" t="s">
        <v>1589</v>
      </c>
      <c r="AI127" s="275" t="s">
        <v>1208</v>
      </c>
      <c r="AJ127" s="275" t="s">
        <v>1210</v>
      </c>
      <c r="AK127" s="275" t="s">
        <v>1211</v>
      </c>
      <c r="AL127" s="275" t="s">
        <v>1212</v>
      </c>
    </row>
    <row r="128" spans="1:38">
      <c r="A128" s="10" t="e">
        <f>VLOOKUP(1160,Language!$C$6:$K$5262,#REF!+1,FALSE)</f>
        <v>#REF!</v>
      </c>
      <c r="D128" s="199" t="str">
        <f t="shared" si="5"/>
        <v>NSW</v>
      </c>
      <c r="E128" s="199" t="str">
        <f t="shared" ref="E128:S128" si="8">E7</f>
        <v>Kärnten</v>
      </c>
      <c r="F128" s="199" t="str">
        <f t="shared" si="8"/>
        <v>Vlaams Gewest</v>
      </c>
      <c r="G128" s="199" t="e">
        <f t="shared" si="8"/>
        <v>#REF!</v>
      </c>
      <c r="H128" s="199" t="s">
        <v>1215</v>
      </c>
      <c r="I128" s="199" t="str">
        <f t="shared" si="8"/>
        <v>Bourgogne-Franche-Comté</v>
      </c>
      <c r="J128" s="199" t="str">
        <f t="shared" si="8"/>
        <v>Bayern</v>
      </c>
      <c r="K128" s="199" t="str">
        <f t="shared" si="8"/>
        <v>Central Greece (exl Attiki)</v>
      </c>
      <c r="L128" s="199" t="str">
        <f t="shared" si="8"/>
        <v>Bács-Kiskun</v>
      </c>
      <c r="M128" s="323" t="s">
        <v>1590</v>
      </c>
      <c r="N128" s="199" t="str">
        <f t="shared" si="8"/>
        <v>BASILICATA</v>
      </c>
      <c r="O128" s="199" t="e">
        <f t="shared" si="8"/>
        <v>#REF!</v>
      </c>
      <c r="P128" s="199" t="s">
        <v>1376</v>
      </c>
      <c r="Q128" s="199" t="str">
        <f t="shared" si="8"/>
        <v>Agder</v>
      </c>
      <c r="R128" s="199" t="str">
        <f t="shared" si="8"/>
        <v>Kujawsko-Pomorskie</v>
      </c>
      <c r="S128" s="199" t="str">
        <f t="shared" si="8"/>
        <v>Lisbon region</v>
      </c>
      <c r="T128" s="199" t="str">
        <f t="shared" si="6"/>
        <v>Itä-Uusimaa</v>
      </c>
      <c r="U128" s="199" t="str">
        <f t="shared" si="6"/>
        <v>Aragon</v>
      </c>
      <c r="V128" s="199" t="str">
        <f t="shared" si="6"/>
        <v>Stor-Malmö</v>
      </c>
      <c r="W128" s="199" t="str">
        <f t="shared" si="6"/>
        <v>W. Switzerland</v>
      </c>
      <c r="X128" s="199" t="str">
        <f t="shared" si="6"/>
        <v>Yorks / Humb</v>
      </c>
      <c r="Y128" s="199" t="str">
        <f t="shared" si="6"/>
        <v>Reykjanes/Suðurnes</v>
      </c>
      <c r="Z128" s="199"/>
      <c r="AA128" s="275" t="str">
        <f t="shared" si="7"/>
        <v>Středočeský kraj excl. Prague -East &amp; Prague-West</v>
      </c>
      <c r="AB128" s="275" t="s">
        <v>1233</v>
      </c>
      <c r="AC128" s="275" t="s">
        <v>1234</v>
      </c>
      <c r="AD128" s="275" t="s">
        <v>1235</v>
      </c>
      <c r="AE128" s="275" t="s">
        <v>1236</v>
      </c>
      <c r="AF128" s="275" t="s">
        <v>1238</v>
      </c>
      <c r="AG128" s="275" t="s">
        <v>1237</v>
      </c>
      <c r="AH128" s="275" t="s">
        <v>1591</v>
      </c>
      <c r="AI128" s="275" t="s">
        <v>1239</v>
      </c>
      <c r="AJ128" s="275" t="s">
        <v>1241</v>
      </c>
      <c r="AK128" s="275" t="s">
        <v>1242</v>
      </c>
      <c r="AL128" s="275" t="s">
        <v>1243</v>
      </c>
    </row>
    <row r="129" spans="1:38">
      <c r="A129" s="10" t="e">
        <f>VLOOKUP(1160.5,Language!$C$6:$K$5262,#REF!+1,FALSE)</f>
        <v>#REF!</v>
      </c>
      <c r="D129" s="199" t="str">
        <f t="shared" si="5"/>
        <v>NT</v>
      </c>
      <c r="E129" s="199" t="str">
        <f t="shared" si="6"/>
        <v>Niederösterreich</v>
      </c>
      <c r="F129" s="199" t="str">
        <f t="shared" si="6"/>
        <v>Waals Gewest</v>
      </c>
      <c r="G129" s="199"/>
      <c r="H129" s="199" t="s">
        <v>1247</v>
      </c>
      <c r="I129" s="199" t="str">
        <f t="shared" si="6"/>
        <v>Bretagne</v>
      </c>
      <c r="J129" s="199" t="str">
        <f t="shared" si="6"/>
        <v>Berlin</v>
      </c>
      <c r="K129" s="199" t="str">
        <f t="shared" si="6"/>
        <v>Peloponissos</v>
      </c>
      <c r="L129" s="199" t="str">
        <f t="shared" si="6"/>
        <v>Baranya</v>
      </c>
      <c r="M129" s="323" t="s">
        <v>1592</v>
      </c>
      <c r="N129" s="199" t="str">
        <f t="shared" si="6"/>
        <v>CALABRIA</v>
      </c>
      <c r="O129" s="199"/>
      <c r="P129" s="199" t="s">
        <v>1222</v>
      </c>
      <c r="Q129" s="199" t="str">
        <f t="shared" si="6"/>
        <v>Troms og Finnmark</v>
      </c>
      <c r="R129" s="199" t="str">
        <f t="shared" si="6"/>
        <v>Lodzkie</v>
      </c>
      <c r="S129" s="199" t="str">
        <f t="shared" si="6"/>
        <v>Coimbra area</v>
      </c>
      <c r="T129" s="199" t="str">
        <f t="shared" si="6"/>
        <v>Varsinais-Suomi</v>
      </c>
      <c r="U129" s="199" t="str">
        <f t="shared" si="6"/>
        <v>Asturias</v>
      </c>
      <c r="V129" s="199" t="str">
        <f t="shared" si="6"/>
        <v>Stockholms län</v>
      </c>
      <c r="W129" s="199" t="str">
        <f t="shared" si="6"/>
        <v>Berne</v>
      </c>
      <c r="X129" s="199" t="str">
        <f t="shared" si="6"/>
        <v>North West</v>
      </c>
      <c r="Y129" s="199" t="str">
        <f t="shared" si="6"/>
        <v>Vesturland</v>
      </c>
      <c r="Z129" s="199"/>
      <c r="AA129" s="275" t="str">
        <f t="shared" si="7"/>
        <v>Jihočeský kraj</v>
      </c>
      <c r="AB129" s="275" t="s">
        <v>1265</v>
      </c>
      <c r="AC129" s="275" t="s">
        <v>1266</v>
      </c>
      <c r="AD129" s="275" t="str">
        <f>"No data"&amp;"_"&amp;AD$5</f>
        <v>No data_Singapore</v>
      </c>
      <c r="AE129" s="275" t="s">
        <v>1267</v>
      </c>
      <c r="AF129" s="275" t="s">
        <v>1269</v>
      </c>
      <c r="AG129" s="275" t="s">
        <v>1268</v>
      </c>
      <c r="AH129" s="275"/>
      <c r="AI129" s="275" t="s">
        <v>1270</v>
      </c>
      <c r="AJ129" s="275" t="s">
        <v>1593</v>
      </c>
      <c r="AK129" s="275" t="s">
        <v>1594</v>
      </c>
      <c r="AL129" s="275" t="s">
        <v>1595</v>
      </c>
    </row>
    <row r="130" spans="1:38">
      <c r="A130" s="10" t="e">
        <f>VLOOKUP(1161,Language!$C$6:$K$5262,#REF!+1,FALSE)</f>
        <v>#REF!</v>
      </c>
      <c r="D130" s="199" t="str">
        <f t="shared" si="5"/>
        <v>QLD</v>
      </c>
      <c r="E130" s="199" t="str">
        <f t="shared" si="6"/>
        <v>Oberösterreich</v>
      </c>
      <c r="F130" s="199" t="e">
        <f t="shared" si="6"/>
        <v>#REF!</v>
      </c>
      <c r="G130" s="199"/>
      <c r="H130" s="199" t="s">
        <v>1274</v>
      </c>
      <c r="I130" s="199" t="str">
        <f t="shared" si="6"/>
        <v>Centre-Val de Loire</v>
      </c>
      <c r="J130" s="199" t="str">
        <f t="shared" si="6"/>
        <v>Brandenburg</v>
      </c>
      <c r="K130" s="199" t="str">
        <f t="shared" si="6"/>
        <v>Ionian Islands</v>
      </c>
      <c r="L130" s="199" t="str">
        <f t="shared" si="6"/>
        <v>Békés</v>
      </c>
      <c r="M130" s="199"/>
      <c r="N130" s="199" t="str">
        <f t="shared" si="6"/>
        <v>CAMPANIA</v>
      </c>
      <c r="O130" s="199"/>
      <c r="P130" s="199" t="s">
        <v>1305</v>
      </c>
      <c r="Q130" s="199" t="str">
        <f t="shared" si="6"/>
        <v>Innlandet</v>
      </c>
      <c r="R130" s="199" t="str">
        <f t="shared" si="6"/>
        <v>Lubelskie</v>
      </c>
      <c r="S130" s="199" t="str">
        <f t="shared" si="6"/>
        <v>Porto area</v>
      </c>
      <c r="T130" s="199" t="str">
        <f t="shared" si="6"/>
        <v>Satakunta</v>
      </c>
      <c r="U130" s="199" t="str">
        <f t="shared" si="6"/>
        <v>Baleares</v>
      </c>
      <c r="V130" s="199" t="str">
        <f t="shared" si="6"/>
        <v>Östra mellansverige</v>
      </c>
      <c r="W130" s="199" t="str">
        <f t="shared" si="6"/>
        <v>N.W. Switzerland</v>
      </c>
      <c r="X130" s="199" t="str">
        <f t="shared" si="6"/>
        <v>E Mid</v>
      </c>
      <c r="Y130" s="199" t="str">
        <f t="shared" si="6"/>
        <v>Vestfirðir</v>
      </c>
      <c r="Z130" s="199"/>
      <c r="AA130" s="275" t="str">
        <f t="shared" si="7"/>
        <v>Plzeňský kraj</v>
      </c>
      <c r="AB130" s="275" t="str">
        <f>"No data"&amp;"_"&amp;AB$5</f>
        <v>No data_New Zealand</v>
      </c>
      <c r="AC130" s="275" t="s">
        <v>1292</v>
      </c>
      <c r="AD130" s="275"/>
      <c r="AE130" s="275" t="s">
        <v>1293</v>
      </c>
      <c r="AF130" s="275" t="s">
        <v>1295</v>
      </c>
      <c r="AG130" s="275" t="s">
        <v>1294</v>
      </c>
      <c r="AH130" s="275"/>
      <c r="AI130" s="275" t="s">
        <v>1296</v>
      </c>
      <c r="AJ130" s="275"/>
      <c r="AK130" s="275"/>
      <c r="AL130" s="275"/>
    </row>
    <row r="131" spans="1:38">
      <c r="A131" s="10" t="e">
        <f>VLOOKUP(1162,Language!$C$6:$K$5262,#REF!+1,FALSE)</f>
        <v>#REF!</v>
      </c>
      <c r="D131" s="199" t="str">
        <f t="shared" si="5"/>
        <v>SA</v>
      </c>
      <c r="E131" s="199" t="str">
        <f t="shared" si="6"/>
        <v>Salzburg</v>
      </c>
      <c r="F131" s="199"/>
      <c r="G131" s="199"/>
      <c r="H131" s="199" t="s">
        <v>1298</v>
      </c>
      <c r="I131" s="199" t="str">
        <f t="shared" si="6"/>
        <v>Corse</v>
      </c>
      <c r="J131" s="199" t="str">
        <f t="shared" si="6"/>
        <v>Bremen</v>
      </c>
      <c r="K131" s="199" t="str">
        <f t="shared" si="6"/>
        <v>Ipiros</v>
      </c>
      <c r="L131" s="199" t="str">
        <f t="shared" si="6"/>
        <v>Borsod-Abaúj-Zemplén</v>
      </c>
      <c r="M131" s="199"/>
      <c r="N131" s="199" t="str">
        <f t="shared" si="6"/>
        <v>EMILIA ROMAGNA</v>
      </c>
      <c r="O131" s="199"/>
      <c r="P131" s="199" t="s">
        <v>1254</v>
      </c>
      <c r="Q131" s="199" t="str">
        <f t="shared" si="6"/>
        <v>Vestland</v>
      </c>
      <c r="R131" s="199" t="str">
        <f t="shared" si="6"/>
        <v>Lubuskie</v>
      </c>
      <c r="S131" s="199" t="str">
        <f t="shared" si="6"/>
        <v>North inland regions</v>
      </c>
      <c r="T131" s="199" t="str">
        <f t="shared" si="6"/>
        <v>Kanta-Häme</v>
      </c>
      <c r="U131" s="199" t="str">
        <f t="shared" si="6"/>
        <v>Canarias</v>
      </c>
      <c r="V131" s="199" t="str">
        <f t="shared" si="6"/>
        <v>Småland med öarna</v>
      </c>
      <c r="W131" s="199" t="str">
        <f t="shared" si="6"/>
        <v>Central Switzerland</v>
      </c>
      <c r="X131" s="199" t="str">
        <f t="shared" si="6"/>
        <v>W Mid</v>
      </c>
      <c r="Y131" s="199" t="str">
        <f t="shared" si="6"/>
        <v>Norðurland-V</v>
      </c>
      <c r="Z131" s="199"/>
      <c r="AA131" s="275" t="str">
        <f t="shared" si="7"/>
        <v>Karlovarský kraj</v>
      </c>
      <c r="AB131" s="275"/>
      <c r="AC131" s="275" t="s">
        <v>1316</v>
      </c>
      <c r="AD131" s="275"/>
      <c r="AE131" s="275" t="s">
        <v>1317</v>
      </c>
      <c r="AF131" s="275" t="s">
        <v>1319</v>
      </c>
      <c r="AG131" s="275" t="s">
        <v>1318</v>
      </c>
      <c r="AH131" s="275"/>
      <c r="AI131" s="275" t="s">
        <v>1320</v>
      </c>
      <c r="AJ131" s="275"/>
      <c r="AK131" s="275"/>
      <c r="AL131" s="275"/>
    </row>
    <row r="132" spans="1:38">
      <c r="A132" s="10" t="e">
        <f>VLOOKUP(1163,Language!$C$6:$K$5262,#REF!+1,FALSE)</f>
        <v>#REF!</v>
      </c>
      <c r="D132" s="199" t="str">
        <f t="shared" si="5"/>
        <v>TAS</v>
      </c>
      <c r="E132" s="199" t="str">
        <f t="shared" si="6"/>
        <v>Steiermark</v>
      </c>
      <c r="F132" s="199"/>
      <c r="G132" s="199"/>
      <c r="H132" s="199" t="s">
        <v>1322</v>
      </c>
      <c r="I132" s="199" t="str">
        <f t="shared" si="6"/>
        <v>Grand Est</v>
      </c>
      <c r="J132" s="199" t="str">
        <f t="shared" si="6"/>
        <v>Hamburg</v>
      </c>
      <c r="K132" s="199" t="str">
        <f t="shared" si="6"/>
        <v>Thessalia</v>
      </c>
      <c r="L132" s="199" t="str">
        <f t="shared" si="6"/>
        <v>Csongrád</v>
      </c>
      <c r="M132" s="199"/>
      <c r="N132" s="199" t="str">
        <f t="shared" si="6"/>
        <v>FRIULI VENEZIA GIULIA</v>
      </c>
      <c r="O132" s="199"/>
      <c r="P132" s="199" t="s">
        <v>1353</v>
      </c>
      <c r="Q132" s="199" t="str">
        <f t="shared" si="6"/>
        <v>Møre og Romsdal</v>
      </c>
      <c r="R132" s="199" t="str">
        <f t="shared" si="6"/>
        <v>Malopolskie</v>
      </c>
      <c r="S132" s="199" t="str">
        <f t="shared" si="6"/>
        <v>Central inland regions</v>
      </c>
      <c r="T132" s="199" t="str">
        <f t="shared" si="6"/>
        <v>Pirkanmaa</v>
      </c>
      <c r="U132" s="199" t="str">
        <f t="shared" si="6"/>
        <v>Cantabria</v>
      </c>
      <c r="V132" s="199" t="str">
        <f t="shared" si="6"/>
        <v>Sydsverige</v>
      </c>
      <c r="W132" s="199" t="str">
        <f t="shared" si="6"/>
        <v>S. Switzerland</v>
      </c>
      <c r="X132" s="199" t="str">
        <f t="shared" si="6"/>
        <v>E Anglia</v>
      </c>
      <c r="Y132" s="199" t="str">
        <f t="shared" si="6"/>
        <v>Norðurland-E</v>
      </c>
      <c r="Z132" s="199"/>
      <c r="AA132" s="275" t="str">
        <f t="shared" si="7"/>
        <v>Ústecký kraj</v>
      </c>
      <c r="AB132" s="275"/>
      <c r="AC132" s="275" t="s">
        <v>1340</v>
      </c>
      <c r="AD132" s="275"/>
      <c r="AE132" s="275" t="s">
        <v>1341</v>
      </c>
      <c r="AF132" s="275" t="s">
        <v>1343</v>
      </c>
      <c r="AG132" s="275" t="s">
        <v>1342</v>
      </c>
      <c r="AH132" s="275"/>
      <c r="AI132" s="275" t="s">
        <v>1344</v>
      </c>
      <c r="AJ132" s="275"/>
      <c r="AK132" s="275"/>
      <c r="AL132" s="275"/>
    </row>
    <row r="133" spans="1:38">
      <c r="A133" s="10" t="e">
        <f>VLOOKUP(1163.5,Language!$C$6:$K$5262,#REF!+1,FALSE)</f>
        <v>#REF!</v>
      </c>
      <c r="D133" s="199" t="str">
        <f t="shared" si="5"/>
        <v>VIC</v>
      </c>
      <c r="E133" s="199" t="str">
        <f t="shared" si="6"/>
        <v>Tirol</v>
      </c>
      <c r="F133" s="199"/>
      <c r="G133" s="199"/>
      <c r="H133" s="199" t="s">
        <v>1346</v>
      </c>
      <c r="I133" s="199" t="str">
        <f t="shared" si="6"/>
        <v>Hauts-de-France</v>
      </c>
      <c r="J133" s="199" t="str">
        <f t="shared" si="6"/>
        <v>Hessen</v>
      </c>
      <c r="K133" s="199" t="str">
        <f t="shared" si="6"/>
        <v>Makedonia</v>
      </c>
      <c r="L133" s="199" t="str">
        <f t="shared" si="6"/>
        <v>Fejér</v>
      </c>
      <c r="M133" s="199"/>
      <c r="N133" s="199" t="str">
        <f t="shared" si="6"/>
        <v>LAZIO</v>
      </c>
      <c r="O133" s="199"/>
      <c r="P133" s="199" t="s">
        <v>1329</v>
      </c>
      <c r="Q133" s="199" t="str">
        <f t="shared" si="6"/>
        <v>Nordland</v>
      </c>
      <c r="R133" s="199" t="str">
        <f t="shared" si="6"/>
        <v>Mazowieckie</v>
      </c>
      <c r="S133" s="199" t="str">
        <f t="shared" si="6"/>
        <v>Alentejo</v>
      </c>
      <c r="T133" s="199" t="str">
        <f t="shared" si="6"/>
        <v>Päijät-Häme</v>
      </c>
      <c r="U133" s="199" t="str">
        <f t="shared" si="6"/>
        <v>Castilla Leon</v>
      </c>
      <c r="V133" s="199" t="str">
        <f t="shared" si="6"/>
        <v>Västsverige</v>
      </c>
      <c r="W133" s="199" t="str">
        <f t="shared" si="6"/>
        <v>E. Switzerland</v>
      </c>
      <c r="X133" s="199" t="str">
        <f t="shared" si="6"/>
        <v>South West</v>
      </c>
      <c r="Y133" s="199" t="str">
        <f t="shared" si="6"/>
        <v>Austurland</v>
      </c>
      <c r="Z133" s="199"/>
      <c r="AA133" s="275" t="str">
        <f t="shared" si="7"/>
        <v>Liberecký kraj</v>
      </c>
      <c r="AB133" s="275"/>
      <c r="AC133" s="275" t="s">
        <v>1364</v>
      </c>
      <c r="AD133" s="275"/>
      <c r="AE133" s="275" t="s">
        <v>1365</v>
      </c>
      <c r="AF133" s="275" t="s">
        <v>1367</v>
      </c>
      <c r="AG133" s="275" t="s">
        <v>1366</v>
      </c>
      <c r="AH133" s="275"/>
      <c r="AI133" s="275" t="s">
        <v>1368</v>
      </c>
      <c r="AJ133" s="275"/>
      <c r="AK133" s="275"/>
      <c r="AL133" s="275"/>
    </row>
    <row r="134" spans="1:38">
      <c r="A134" s="10" t="e">
        <f>VLOOKUP(1164,Language!$C$6:$K$5262,#REF!+1,FALSE)</f>
        <v>#REF!</v>
      </c>
      <c r="D134" s="199" t="str">
        <f t="shared" si="5"/>
        <v>WA</v>
      </c>
      <c r="E134" s="199" t="str">
        <f t="shared" si="6"/>
        <v>Vorarlberg</v>
      </c>
      <c r="F134" s="199"/>
      <c r="G134" s="199"/>
      <c r="H134" s="199"/>
      <c r="I134" s="199" t="str">
        <f t="shared" si="6"/>
        <v>Île-de-France</v>
      </c>
      <c r="J134" s="199" t="str">
        <f t="shared" si="6"/>
        <v>Mecklenburg-Vorpommern</v>
      </c>
      <c r="K134" s="199" t="str">
        <f t="shared" si="6"/>
        <v>Thraki</v>
      </c>
      <c r="L134" s="199" t="str">
        <f t="shared" si="6"/>
        <v>Győr-Moson-Sopron</v>
      </c>
      <c r="M134" s="199"/>
      <c r="N134" s="199" t="str">
        <f t="shared" si="6"/>
        <v>LIGURIA</v>
      </c>
      <c r="O134" s="199"/>
      <c r="P134" s="199" t="s">
        <v>1419</v>
      </c>
      <c r="Q134" s="199" t="str">
        <f t="shared" si="6"/>
        <v>Trøndelag</v>
      </c>
      <c r="R134" s="199" t="str">
        <f t="shared" si="6"/>
        <v>Opolskie</v>
      </c>
      <c r="S134" s="199" t="str">
        <f t="shared" si="6"/>
        <v>Algarve</v>
      </c>
      <c r="T134" s="199" t="str">
        <f t="shared" si="6"/>
        <v>Kymenlaakso</v>
      </c>
      <c r="U134" s="199" t="str">
        <f t="shared" si="6"/>
        <v>Catilla-La Mancha</v>
      </c>
      <c r="V134" s="199" t="str">
        <f t="shared" si="6"/>
        <v>Norra mellansverige</v>
      </c>
      <c r="W134" s="199" t="str">
        <f t="shared" si="6"/>
        <v>Zurich</v>
      </c>
      <c r="X134" s="199" t="str">
        <f t="shared" si="6"/>
        <v>South East</v>
      </c>
      <c r="Y134" s="199" t="str">
        <f t="shared" si="6"/>
        <v>Suðurland</v>
      </c>
      <c r="Z134" s="199"/>
      <c r="AA134" s="275" t="str">
        <f t="shared" si="7"/>
        <v>Královéhradecký kraj</v>
      </c>
      <c r="AB134" s="275"/>
      <c r="AC134" s="275" t="s">
        <v>1387</v>
      </c>
      <c r="AD134" s="275"/>
      <c r="AE134" s="275" t="s">
        <v>1388</v>
      </c>
      <c r="AF134" s="275" t="s">
        <v>1390</v>
      </c>
      <c r="AG134" s="275" t="s">
        <v>1389</v>
      </c>
      <c r="AH134" s="275"/>
      <c r="AI134" s="275" t="s">
        <v>1391</v>
      </c>
      <c r="AJ134" s="275"/>
      <c r="AK134" s="275"/>
      <c r="AL134" s="275"/>
    </row>
    <row r="135" spans="1:38">
      <c r="A135" s="10" t="e">
        <f>VLOOKUP(1165,Language!$C$6:$K$5262,#REF!+1,FALSE)</f>
        <v>#REF!</v>
      </c>
      <c r="D135" s="199" t="e">
        <f t="shared" si="5"/>
        <v>#REF!</v>
      </c>
      <c r="E135" s="199" t="str">
        <f t="shared" si="6"/>
        <v>Wien</v>
      </c>
      <c r="F135" s="199"/>
      <c r="G135" s="199"/>
      <c r="H135" s="199"/>
      <c r="I135" s="199" t="str">
        <f t="shared" si="6"/>
        <v>Normandie</v>
      </c>
      <c r="J135" s="199" t="str">
        <f t="shared" si="6"/>
        <v>Niedersachsen</v>
      </c>
      <c r="K135" s="199" t="str">
        <f t="shared" si="6"/>
        <v>Aegean Islands</v>
      </c>
      <c r="L135" s="199" t="str">
        <f t="shared" si="6"/>
        <v>Hajdú-Bihar</v>
      </c>
      <c r="M135" s="199"/>
      <c r="N135" s="199" t="str">
        <f t="shared" si="6"/>
        <v>LOMBARDIA</v>
      </c>
      <c r="O135" s="199"/>
      <c r="P135" s="199" t="s">
        <v>1281</v>
      </c>
      <c r="Q135" s="199" t="str">
        <f t="shared" si="6"/>
        <v>Oslo</v>
      </c>
      <c r="R135" s="199" t="str">
        <f t="shared" si="6"/>
        <v>Podkarpackie</v>
      </c>
      <c r="S135" s="199" t="str">
        <f t="shared" si="6"/>
        <v>Acores/Madeira</v>
      </c>
      <c r="T135" s="199" t="str">
        <f t="shared" si="6"/>
        <v>South Karelia</v>
      </c>
      <c r="U135" s="199" t="str">
        <f t="shared" si="6"/>
        <v>Cataluna</v>
      </c>
      <c r="V135" s="199" t="str">
        <f t="shared" si="6"/>
        <v>Mellersta Norrland</v>
      </c>
      <c r="W135" s="199" t="e">
        <f t="shared" si="6"/>
        <v>#REF!</v>
      </c>
      <c r="X135" s="199" t="str">
        <f t="shared" si="6"/>
        <v>London</v>
      </c>
      <c r="Y135" s="199" t="str">
        <f t="shared" si="6"/>
        <v>Reykjavík</v>
      </c>
      <c r="Z135" s="199"/>
      <c r="AA135" s="275" t="str">
        <f t="shared" si="7"/>
        <v>Pardubický kraj</v>
      </c>
      <c r="AB135" s="275"/>
      <c r="AC135" s="275" t="s">
        <v>1409</v>
      </c>
      <c r="AD135" s="275"/>
      <c r="AE135" s="320" t="s">
        <v>1596</v>
      </c>
      <c r="AF135" s="320" t="s">
        <v>1410</v>
      </c>
      <c r="AG135" s="320" t="s">
        <v>1597</v>
      </c>
      <c r="AH135" s="320"/>
      <c r="AI135" s="320" t="s">
        <v>1411</v>
      </c>
      <c r="AJ135" s="320"/>
      <c r="AK135" s="320"/>
      <c r="AL135" s="320"/>
    </row>
    <row r="136" spans="1:38">
      <c r="A136" s="10" t="e">
        <f>VLOOKUP(1166,Language!$C$6:$K$5262,#REF!+1,FALSE)</f>
        <v>#REF!</v>
      </c>
      <c r="D136" s="199"/>
      <c r="E136" s="199" t="e">
        <f t="shared" si="6"/>
        <v>#REF!</v>
      </c>
      <c r="F136" s="199"/>
      <c r="G136" s="199"/>
      <c r="H136" s="199"/>
      <c r="I136" s="199" t="str">
        <f t="shared" si="6"/>
        <v>Nouvelle-Aquitaine</v>
      </c>
      <c r="J136" s="199" t="str">
        <f t="shared" si="6"/>
        <v>Nordrhein-Westfalen</v>
      </c>
      <c r="K136" s="199" t="str">
        <f t="shared" si="6"/>
        <v>Crete</v>
      </c>
      <c r="L136" s="199" t="str">
        <f t="shared" si="6"/>
        <v>Heves</v>
      </c>
      <c r="M136" s="199"/>
      <c r="N136" s="199" t="str">
        <f t="shared" si="6"/>
        <v>MARCHE</v>
      </c>
      <c r="O136" s="199"/>
      <c r="P136" s="199" t="s">
        <v>1399</v>
      </c>
      <c r="Q136" s="199" t="str">
        <f t="shared" si="6"/>
        <v>Rogaland</v>
      </c>
      <c r="R136" s="199" t="str">
        <f t="shared" si="6"/>
        <v>Podlaskie</v>
      </c>
      <c r="S136" s="199" t="e">
        <f t="shared" si="6"/>
        <v>#REF!</v>
      </c>
      <c r="T136" s="199" t="str">
        <f t="shared" si="6"/>
        <v>Etelä-Savo</v>
      </c>
      <c r="U136" s="199" t="str">
        <f t="shared" si="6"/>
        <v>Madrid</v>
      </c>
      <c r="V136" s="199" t="str">
        <f t="shared" si="6"/>
        <v>Övre Norrland</v>
      </c>
      <c r="W136" s="199"/>
      <c r="X136" s="199" t="str">
        <f t="shared" si="6"/>
        <v>Wales</v>
      </c>
      <c r="Y136" s="199" t="str">
        <f t="shared" si="6"/>
        <v>Kópavogur</v>
      </c>
      <c r="Z136" s="199"/>
      <c r="AA136" s="275" t="str">
        <f t="shared" si="7"/>
        <v>Kraj Vysočina</v>
      </c>
      <c r="AB136" s="275"/>
      <c r="AC136" s="275" t="s">
        <v>1428</v>
      </c>
      <c r="AD136" s="275"/>
      <c r="AE136" s="275"/>
      <c r="AF136" s="275" t="s">
        <v>1429</v>
      </c>
      <c r="AG136" s="275"/>
      <c r="AH136" s="275"/>
      <c r="AI136" s="275" t="s">
        <v>1430</v>
      </c>
      <c r="AJ136" s="275"/>
      <c r="AK136" s="275"/>
      <c r="AL136" s="275"/>
    </row>
    <row r="137" spans="1:38">
      <c r="A137" s="10" t="e">
        <f>VLOOKUP(1167,Language!$C$6:$K$5262,#REF!+1,FALSE)</f>
        <v>#REF!</v>
      </c>
      <c r="D137" s="199"/>
      <c r="E137" s="199"/>
      <c r="F137" s="199"/>
      <c r="G137" s="199"/>
      <c r="H137" s="199"/>
      <c r="I137" s="199" t="str">
        <f t="shared" si="6"/>
        <v>Occitanie</v>
      </c>
      <c r="J137" s="199" t="str">
        <f t="shared" si="6"/>
        <v>Rheinland-Pfalz</v>
      </c>
      <c r="K137" s="199" t="e">
        <f t="shared" si="6"/>
        <v>#REF!</v>
      </c>
      <c r="L137" s="199" t="str">
        <f t="shared" si="6"/>
        <v>Jász-Nagykun-Szolnok</v>
      </c>
      <c r="M137" s="199"/>
      <c r="N137" s="199" t="str">
        <f t="shared" si="6"/>
        <v>MOLISE</v>
      </c>
      <c r="O137" s="199"/>
      <c r="P137" s="199" t="s">
        <v>1453</v>
      </c>
      <c r="Q137" s="199" t="str">
        <f t="shared" si="6"/>
        <v>Vestfold og Telemark</v>
      </c>
      <c r="R137" s="199" t="str">
        <f t="shared" si="6"/>
        <v>Pomorskie</v>
      </c>
      <c r="S137" s="199"/>
      <c r="T137" s="199" t="str">
        <f t="shared" si="6"/>
        <v>Pohjois-Savo</v>
      </c>
      <c r="U137" s="199" t="str">
        <f t="shared" si="6"/>
        <v>Murcia</v>
      </c>
      <c r="V137" s="199" t="e">
        <f t="shared" si="6"/>
        <v>#REF!</v>
      </c>
      <c r="W137" s="199"/>
      <c r="X137" s="199" t="str">
        <f t="shared" si="6"/>
        <v>Scotland</v>
      </c>
      <c r="Y137" s="199" t="str">
        <f t="shared" si="6"/>
        <v>Seltjarnarnes</v>
      </c>
      <c r="Z137" s="199"/>
      <c r="AA137" s="275" t="str">
        <f t="shared" si="7"/>
        <v>Jihomoravský kraj</v>
      </c>
      <c r="AB137" s="275"/>
      <c r="AC137" s="275" t="s">
        <v>1445</v>
      </c>
      <c r="AD137" s="275"/>
      <c r="AE137" s="275"/>
      <c r="AF137" s="275" t="s">
        <v>1446</v>
      </c>
      <c r="AG137" s="275"/>
      <c r="AH137" s="275"/>
      <c r="AI137" s="275" t="s">
        <v>1447</v>
      </c>
      <c r="AJ137" s="275"/>
      <c r="AK137" s="275"/>
      <c r="AL137" s="275"/>
    </row>
    <row r="138" spans="1:38">
      <c r="A138" s="10" t="e">
        <f>VLOOKUP(1839,Language!$C$6:$K$5262,#REF!+1,FALSE)</f>
        <v>#REF!</v>
      </c>
      <c r="D138" s="199"/>
      <c r="E138" s="199"/>
      <c r="F138" s="199"/>
      <c r="G138" s="199"/>
      <c r="H138" s="199"/>
      <c r="I138" s="199" t="str">
        <f t="shared" si="6"/>
        <v>Outre mer</v>
      </c>
      <c r="J138" s="199" t="str">
        <f t="shared" si="6"/>
        <v>Saarland</v>
      </c>
      <c r="K138" s="199"/>
      <c r="L138" s="199" t="str">
        <f t="shared" si="6"/>
        <v>Komárom-Esztergom</v>
      </c>
      <c r="M138" s="199"/>
      <c r="N138" s="199" t="str">
        <f t="shared" si="6"/>
        <v>PIEMONTE</v>
      </c>
      <c r="O138" s="199"/>
      <c r="P138" s="199" t="s">
        <v>1437</v>
      </c>
      <c r="Q138" s="199" t="e">
        <f t="shared" si="6"/>
        <v>#REF!</v>
      </c>
      <c r="R138" s="199" t="str">
        <f t="shared" si="6"/>
        <v>Slaskie</v>
      </c>
      <c r="S138" s="199"/>
      <c r="T138" s="199" t="str">
        <f t="shared" si="6"/>
        <v>North Karelia</v>
      </c>
      <c r="U138" s="199" t="str">
        <f t="shared" si="6"/>
        <v>Valencia</v>
      </c>
      <c r="V138" s="199"/>
      <c r="W138" s="199"/>
      <c r="X138" s="199" t="str">
        <f t="shared" si="6"/>
        <v>Northern Ireland</v>
      </c>
      <c r="Y138" s="199" t="str">
        <f t="shared" si="6"/>
        <v>Garðabær</v>
      </c>
      <c r="Z138" s="199"/>
      <c r="AA138" s="275" t="str">
        <f t="shared" si="7"/>
        <v>Olomoucký kraj</v>
      </c>
      <c r="AB138" s="275"/>
      <c r="AC138" s="275" t="s">
        <v>1460</v>
      </c>
      <c r="AD138" s="275"/>
      <c r="AE138" s="275"/>
      <c r="AF138" s="275" t="s">
        <v>1461</v>
      </c>
      <c r="AG138" s="275"/>
      <c r="AH138" s="275"/>
      <c r="AI138" s="275" t="s">
        <v>1462</v>
      </c>
      <c r="AJ138" s="275"/>
      <c r="AK138" s="275"/>
      <c r="AL138" s="275"/>
    </row>
    <row r="139" spans="1:38">
      <c r="A139" s="10" t="e">
        <f>VLOOKUP(1133,Language!$C$6:$K$5262,#REF!+1,FALSE)</f>
        <v>#REF!</v>
      </c>
      <c r="D139" s="199"/>
      <c r="E139" s="199"/>
      <c r="F139" s="199"/>
      <c r="G139" s="199"/>
      <c r="H139" s="199"/>
      <c r="I139" s="199" t="str">
        <f t="shared" si="6"/>
        <v>Pays de la Loire</v>
      </c>
      <c r="J139" s="199" t="str">
        <f t="shared" si="6"/>
        <v>Sachsen</v>
      </c>
      <c r="K139" s="199"/>
      <c r="L139" s="199" t="str">
        <f t="shared" ref="L139:N147" si="9">L18</f>
        <v>Nógrád</v>
      </c>
      <c r="M139" s="199"/>
      <c r="N139" s="199" t="str">
        <f t="shared" si="9"/>
        <v>PUGLIA</v>
      </c>
      <c r="O139" s="199"/>
      <c r="P139" s="199" t="e">
        <f t="shared" ref="P139:R141" si="10">P18</f>
        <v>#REF!</v>
      </c>
      <c r="Q139" s="199"/>
      <c r="R139" s="199" t="str">
        <f t="shared" si="10"/>
        <v>Swietokrzyskie</v>
      </c>
      <c r="S139" s="199"/>
      <c r="T139" s="199" t="str">
        <f t="shared" ref="T139:U144" si="11">T18</f>
        <v>Central Finland</v>
      </c>
      <c r="U139" s="199" t="str">
        <f t="shared" si="11"/>
        <v>Extremadura</v>
      </c>
      <c r="V139" s="199"/>
      <c r="W139" s="199"/>
      <c r="X139" s="199" t="e">
        <f>X18</f>
        <v>#REF!</v>
      </c>
      <c r="Y139" s="199" t="str">
        <f>Y18</f>
        <v>Hafnarfjörður</v>
      </c>
      <c r="Z139" s="199"/>
      <c r="AA139" s="275" t="str">
        <f t="shared" si="7"/>
        <v>Zlínský kraj</v>
      </c>
      <c r="AB139" s="275"/>
      <c r="AC139" s="275" t="s">
        <v>1473</v>
      </c>
      <c r="AD139" s="275"/>
      <c r="AE139" s="275"/>
      <c r="AF139" s="275" t="s">
        <v>1474</v>
      </c>
      <c r="AG139" s="275"/>
      <c r="AH139" s="275"/>
      <c r="AI139" s="275" t="s">
        <v>1475</v>
      </c>
      <c r="AJ139" s="275"/>
      <c r="AK139" s="275"/>
      <c r="AL139" s="275"/>
    </row>
    <row r="140" spans="1:38">
      <c r="D140" s="199"/>
      <c r="E140" s="199"/>
      <c r="F140" s="199"/>
      <c r="G140" s="199"/>
      <c r="H140" s="199"/>
      <c r="I140" s="199" t="str">
        <f t="shared" ref="I140:J143" si="12">I19</f>
        <v>Provence-Alpes-Côte d'Azur</v>
      </c>
      <c r="J140" s="199" t="str">
        <f t="shared" si="12"/>
        <v>Sachsen-Anhalt</v>
      </c>
      <c r="K140" s="199"/>
      <c r="L140" s="199" t="str">
        <f t="shared" si="9"/>
        <v>Pest</v>
      </c>
      <c r="M140" s="199"/>
      <c r="N140" s="199" t="str">
        <f t="shared" si="9"/>
        <v>SARDEGNA</v>
      </c>
      <c r="O140" s="199"/>
      <c r="P140" s="199"/>
      <c r="Q140" s="199"/>
      <c r="R140" s="199" t="str">
        <f t="shared" si="10"/>
        <v>Warminsko-Mazurskie</v>
      </c>
      <c r="S140" s="199"/>
      <c r="T140" s="199" t="str">
        <f t="shared" si="11"/>
        <v>South Ostrobothnia</v>
      </c>
      <c r="U140" s="199" t="str">
        <f t="shared" si="11"/>
        <v>Galicia</v>
      </c>
      <c r="V140" s="199"/>
      <c r="W140" s="199"/>
      <c r="X140" s="199"/>
      <c r="Y140" s="199" t="str">
        <f>Y19</f>
        <v>Álftanes</v>
      </c>
      <c r="Z140" s="199"/>
      <c r="AA140" s="275" t="str">
        <f t="shared" si="7"/>
        <v>Moravskoslezský kraj</v>
      </c>
      <c r="AB140" s="275"/>
      <c r="AC140" s="275" t="s">
        <v>1486</v>
      </c>
      <c r="AD140" s="275"/>
      <c r="AE140" s="275"/>
      <c r="AF140" s="275" t="s">
        <v>1487</v>
      </c>
      <c r="AG140" s="275"/>
      <c r="AH140" s="275"/>
      <c r="AI140" s="275" t="s">
        <v>1488</v>
      </c>
      <c r="AJ140" s="275"/>
      <c r="AK140" s="275"/>
      <c r="AL140" s="275"/>
    </row>
    <row r="141" spans="1:38">
      <c r="D141" s="199"/>
      <c r="E141" s="199"/>
      <c r="F141" s="199"/>
      <c r="G141" s="199"/>
      <c r="H141" s="199"/>
      <c r="I141" s="199" t="str">
        <f t="shared" si="12"/>
        <v>No data_France</v>
      </c>
      <c r="J141" s="199" t="str">
        <f t="shared" si="12"/>
        <v>Schleswig-Holstein</v>
      </c>
      <c r="K141" s="199"/>
      <c r="L141" s="199" t="str">
        <f t="shared" si="9"/>
        <v>Somogy</v>
      </c>
      <c r="M141" s="199"/>
      <c r="N141" s="199" t="str">
        <f t="shared" si="9"/>
        <v>SICILIA</v>
      </c>
      <c r="O141" s="199"/>
      <c r="P141" s="199"/>
      <c r="Q141" s="199"/>
      <c r="R141" s="199" t="str">
        <f t="shared" si="10"/>
        <v>Wielkopolskie</v>
      </c>
      <c r="S141" s="199"/>
      <c r="T141" s="199" t="str">
        <f t="shared" si="11"/>
        <v>Ostrobothnia</v>
      </c>
      <c r="U141" s="199" t="str">
        <f t="shared" si="11"/>
        <v>La Rioja</v>
      </c>
      <c r="V141" s="199"/>
      <c r="W141" s="199"/>
      <c r="X141" s="199"/>
      <c r="Y141" s="199" t="str">
        <f>Y20</f>
        <v>Mosfellsbær</v>
      </c>
      <c r="Z141" s="199"/>
      <c r="AA141" s="275" t="e">
        <f t="shared" si="7"/>
        <v>#REF!</v>
      </c>
      <c r="AB141" s="275"/>
      <c r="AC141" s="275" t="s">
        <v>1499</v>
      </c>
      <c r="AD141" s="275"/>
      <c r="AE141" s="275"/>
      <c r="AF141" s="275" t="s">
        <v>1500</v>
      </c>
      <c r="AG141" s="275"/>
      <c r="AH141" s="275"/>
      <c r="AI141" s="275" t="s">
        <v>1501</v>
      </c>
      <c r="AJ141" s="275"/>
      <c r="AK141" s="275"/>
      <c r="AL141" s="275"/>
    </row>
    <row r="142" spans="1:38">
      <c r="D142" s="199"/>
      <c r="E142" s="199"/>
      <c r="F142" s="199"/>
      <c r="G142" s="199"/>
      <c r="H142" s="199"/>
      <c r="I142" s="199"/>
      <c r="J142" s="199" t="str">
        <f t="shared" si="12"/>
        <v>Thüringen</v>
      </c>
      <c r="K142" s="199"/>
      <c r="L142" s="199" t="str">
        <f t="shared" si="9"/>
        <v>Szabolcs-Szatmár-Bereg</v>
      </c>
      <c r="M142" s="199"/>
      <c r="N142" s="199" t="str">
        <f t="shared" si="9"/>
        <v>TOSCANA</v>
      </c>
      <c r="O142" s="199"/>
      <c r="P142" s="199"/>
      <c r="Q142" s="199"/>
      <c r="R142" s="199" t="str">
        <f>R21</f>
        <v>Zachodniopomorskie</v>
      </c>
      <c r="S142" s="199"/>
      <c r="T142" s="199" t="str">
        <f t="shared" si="11"/>
        <v>Central Ostrobothnia</v>
      </c>
      <c r="U142" s="199" t="str">
        <f t="shared" si="11"/>
        <v>Navarra</v>
      </c>
      <c r="V142" s="199"/>
      <c r="W142" s="199"/>
      <c r="X142" s="199"/>
      <c r="Y142" s="199" t="e">
        <f>Y21</f>
        <v>#REF!</v>
      </c>
      <c r="Z142" s="199"/>
      <c r="AA142" s="275"/>
      <c r="AB142" s="275"/>
      <c r="AC142" s="275" t="s">
        <v>1510</v>
      </c>
      <c r="AD142" s="275"/>
      <c r="AE142" s="275"/>
      <c r="AF142" s="275" t="s">
        <v>1511</v>
      </c>
      <c r="AG142" s="275"/>
      <c r="AH142" s="275"/>
      <c r="AI142" s="275" t="s">
        <v>1512</v>
      </c>
      <c r="AJ142" s="275"/>
      <c r="AK142" s="275"/>
      <c r="AL142" s="275"/>
    </row>
    <row r="143" spans="1:38">
      <c r="D143" s="199"/>
      <c r="E143" s="199"/>
      <c r="F143" s="199"/>
      <c r="G143" s="199"/>
      <c r="H143" s="199"/>
      <c r="I143" s="199"/>
      <c r="J143" s="199" t="e">
        <f t="shared" si="12"/>
        <v>#REF!</v>
      </c>
      <c r="K143" s="199"/>
      <c r="L143" s="199" t="str">
        <f t="shared" si="9"/>
        <v>Tolna</v>
      </c>
      <c r="M143" s="199"/>
      <c r="N143" s="199" t="str">
        <f t="shared" si="9"/>
        <v>TRENTINO ALTO ADIGE</v>
      </c>
      <c r="O143" s="199"/>
      <c r="P143" s="199"/>
      <c r="Q143" s="199"/>
      <c r="R143" s="199" t="e">
        <f>R22</f>
        <v>#REF!</v>
      </c>
      <c r="S143" s="199"/>
      <c r="T143" s="199" t="str">
        <f t="shared" si="11"/>
        <v>North Ostrobothnia</v>
      </c>
      <c r="U143" s="199" t="str">
        <f t="shared" si="11"/>
        <v>Pais Vasco</v>
      </c>
      <c r="V143" s="199"/>
      <c r="W143" s="199"/>
      <c r="X143" s="199"/>
      <c r="Y143" s="199"/>
      <c r="Z143" s="199"/>
      <c r="AA143" s="275"/>
      <c r="AB143" s="275"/>
      <c r="AC143" s="275" t="s">
        <v>1519</v>
      </c>
      <c r="AD143" s="275"/>
      <c r="AE143" s="275"/>
      <c r="AF143" s="275" t="s">
        <v>1520</v>
      </c>
      <c r="AG143" s="275"/>
      <c r="AH143" s="275"/>
      <c r="AI143" s="275" t="s">
        <v>1521</v>
      </c>
      <c r="AJ143" s="275"/>
      <c r="AK143" s="275"/>
      <c r="AL143" s="275"/>
    </row>
    <row r="144" spans="1:38">
      <c r="D144" s="199"/>
      <c r="E144" s="199"/>
      <c r="F144" s="199"/>
      <c r="G144" s="199"/>
      <c r="H144" s="199"/>
      <c r="I144" s="199"/>
      <c r="J144" s="199"/>
      <c r="K144" s="199"/>
      <c r="L144" s="199" t="str">
        <f t="shared" si="9"/>
        <v>Vas</v>
      </c>
      <c r="M144" s="199"/>
      <c r="N144" s="199" t="str">
        <f t="shared" si="9"/>
        <v>UMBRIA</v>
      </c>
      <c r="O144" s="199"/>
      <c r="P144" s="199"/>
      <c r="Q144" s="199"/>
      <c r="R144" s="199"/>
      <c r="S144" s="199"/>
      <c r="T144" s="199" t="str">
        <f t="shared" si="11"/>
        <v>Kainuu</v>
      </c>
      <c r="U144" s="199" t="e">
        <f t="shared" si="11"/>
        <v>#REF!</v>
      </c>
      <c r="V144" s="199"/>
      <c r="W144" s="199"/>
      <c r="X144" s="199"/>
      <c r="Y144" s="199"/>
      <c r="Z144" s="199"/>
      <c r="AA144" s="275"/>
      <c r="AB144" s="275"/>
      <c r="AC144" s="275" t="str">
        <f>"Unknown"&amp;"_"&amp;AC$5</f>
        <v>Unknown_South Korea</v>
      </c>
      <c r="AD144" s="275"/>
      <c r="AE144" s="275"/>
      <c r="AF144" s="275" t="s">
        <v>1527</v>
      </c>
      <c r="AG144" s="275"/>
      <c r="AH144" s="275"/>
      <c r="AI144" s="275" t="s">
        <v>1528</v>
      </c>
      <c r="AJ144" s="275"/>
      <c r="AK144" s="275"/>
      <c r="AL144" s="275"/>
    </row>
    <row r="145" spans="4:38">
      <c r="D145" s="199"/>
      <c r="E145" s="199"/>
      <c r="F145" s="199"/>
      <c r="G145" s="199"/>
      <c r="H145" s="199"/>
      <c r="I145" s="199"/>
      <c r="J145" s="199"/>
      <c r="K145" s="199"/>
      <c r="L145" s="199" t="str">
        <f t="shared" si="9"/>
        <v>Veszprém</v>
      </c>
      <c r="M145" s="199"/>
      <c r="N145" s="199" t="str">
        <f t="shared" si="9"/>
        <v>UNKNOWN</v>
      </c>
      <c r="O145" s="199"/>
      <c r="P145" s="199"/>
      <c r="Q145" s="199"/>
      <c r="R145" s="199"/>
      <c r="S145" s="199"/>
      <c r="T145" s="199" t="str">
        <f>T24</f>
        <v>Lapland</v>
      </c>
      <c r="U145" s="199"/>
      <c r="V145" s="199"/>
      <c r="W145" s="199"/>
      <c r="X145" s="199"/>
      <c r="Y145" s="199"/>
      <c r="Z145" s="199"/>
      <c r="AA145" s="275"/>
      <c r="AB145" s="275"/>
      <c r="AC145" s="275"/>
      <c r="AD145" s="275"/>
      <c r="AE145" s="275"/>
      <c r="AF145" s="275" t="s">
        <v>1533</v>
      </c>
      <c r="AG145" s="275"/>
      <c r="AH145" s="275"/>
      <c r="AI145" s="275" t="s">
        <v>1534</v>
      </c>
      <c r="AJ145" s="275"/>
      <c r="AK145" s="275"/>
      <c r="AL145" s="275"/>
    </row>
    <row r="146" spans="4:38">
      <c r="D146" s="199"/>
      <c r="E146" s="199"/>
      <c r="F146" s="199"/>
      <c r="G146" s="199"/>
      <c r="H146" s="199"/>
      <c r="I146" s="199"/>
      <c r="J146" s="199"/>
      <c r="K146" s="199"/>
      <c r="L146" s="199" t="str">
        <f t="shared" si="9"/>
        <v>Zala</v>
      </c>
      <c r="M146" s="199"/>
      <c r="N146" s="199" t="str">
        <f t="shared" si="9"/>
        <v>VALLE D'AOSTA</v>
      </c>
      <c r="O146" s="199"/>
      <c r="P146" s="199"/>
      <c r="Q146" s="199"/>
      <c r="R146" s="199"/>
      <c r="S146" s="199"/>
      <c r="T146" s="199" t="e">
        <f>T25</f>
        <v>#REF!</v>
      </c>
      <c r="U146" s="199"/>
      <c r="V146" s="199"/>
      <c r="W146" s="199"/>
      <c r="X146" s="199"/>
      <c r="Y146" s="199"/>
      <c r="Z146" s="199"/>
      <c r="AA146" s="275"/>
      <c r="AB146" s="275"/>
      <c r="AC146" s="275"/>
      <c r="AD146" s="275"/>
      <c r="AE146" s="275"/>
      <c r="AF146" s="275" t="s">
        <v>1538</v>
      </c>
      <c r="AG146" s="275"/>
      <c r="AH146" s="275"/>
      <c r="AI146" s="275" t="s">
        <v>1539</v>
      </c>
      <c r="AJ146" s="275"/>
      <c r="AK146" s="275"/>
      <c r="AL146" s="275"/>
    </row>
    <row r="147" spans="4:38">
      <c r="D147" s="199"/>
      <c r="E147" s="199"/>
      <c r="F147" s="199"/>
      <c r="G147" s="199"/>
      <c r="H147" s="199"/>
      <c r="I147" s="199"/>
      <c r="J147" s="199"/>
      <c r="K147" s="199"/>
      <c r="L147" s="199" t="e">
        <f t="shared" si="9"/>
        <v>#REF!</v>
      </c>
      <c r="M147" s="199"/>
      <c r="N147" s="199" t="str">
        <f t="shared" si="9"/>
        <v>VENETO</v>
      </c>
      <c r="O147" s="199"/>
      <c r="P147" s="199"/>
      <c r="Q147" s="199"/>
      <c r="R147" s="199"/>
      <c r="S147" s="199"/>
      <c r="T147" s="199"/>
      <c r="U147" s="199"/>
      <c r="V147" s="199"/>
      <c r="W147" s="199"/>
      <c r="X147" s="199"/>
      <c r="Y147" s="199"/>
      <c r="Z147" s="199"/>
      <c r="AA147" s="275"/>
      <c r="AB147" s="275"/>
      <c r="AC147" s="275"/>
      <c r="AD147" s="275"/>
      <c r="AE147" s="275"/>
      <c r="AF147" s="275" t="s">
        <v>1543</v>
      </c>
      <c r="AG147" s="275"/>
      <c r="AH147" s="275"/>
      <c r="AI147" s="275" t="s">
        <v>1544</v>
      </c>
      <c r="AJ147" s="275"/>
      <c r="AK147" s="275"/>
      <c r="AL147" s="275"/>
    </row>
    <row r="148" spans="4:38">
      <c r="D148" s="199"/>
      <c r="E148" s="199"/>
      <c r="F148" s="199"/>
      <c r="G148" s="199"/>
      <c r="H148" s="199"/>
      <c r="I148" s="199"/>
      <c r="J148" s="199"/>
      <c r="K148" s="199"/>
      <c r="L148" s="199"/>
      <c r="M148" s="199"/>
      <c r="N148" s="199" t="e">
        <f>N27</f>
        <v>#REF!</v>
      </c>
      <c r="O148" s="199"/>
      <c r="P148" s="199"/>
      <c r="Q148" s="199"/>
      <c r="R148" s="199"/>
      <c r="S148" s="199"/>
      <c r="T148" s="199"/>
      <c r="U148" s="199"/>
      <c r="V148" s="199"/>
      <c r="W148" s="199"/>
      <c r="X148" s="199"/>
      <c r="Y148" s="199"/>
      <c r="Z148" s="199"/>
      <c r="AA148" s="275"/>
      <c r="AB148" s="275"/>
      <c r="AC148" s="275"/>
      <c r="AD148" s="275"/>
      <c r="AE148" s="275"/>
      <c r="AF148" s="275" t="s">
        <v>1598</v>
      </c>
      <c r="AG148" s="275"/>
      <c r="AH148" s="275"/>
      <c r="AI148" s="275" t="s">
        <v>1547</v>
      </c>
      <c r="AJ148" s="275"/>
      <c r="AK148" s="275"/>
      <c r="AL148" s="275"/>
    </row>
    <row r="149" spans="4:38">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275"/>
      <c r="AB149" s="275"/>
      <c r="AC149" s="275"/>
      <c r="AD149" s="275"/>
      <c r="AE149" s="275"/>
      <c r="AF149" s="275"/>
      <c r="AG149" s="275"/>
      <c r="AH149" s="275"/>
      <c r="AI149" s="275" t="s">
        <v>1599</v>
      </c>
      <c r="AJ149" s="275"/>
      <c r="AK149" s="275"/>
      <c r="AL149" s="275"/>
    </row>
    <row r="150" spans="4:38">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275"/>
      <c r="AB150" s="275"/>
      <c r="AC150" s="275"/>
      <c r="AD150" s="275"/>
      <c r="AE150" s="275"/>
      <c r="AF150" s="275"/>
      <c r="AG150" s="275"/>
      <c r="AH150" s="275"/>
      <c r="AI150" s="275"/>
      <c r="AJ150" s="275"/>
      <c r="AK150" s="275"/>
      <c r="AL150" s="275"/>
    </row>
    <row r="151" spans="4:38">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275"/>
      <c r="AB151" s="275"/>
      <c r="AC151" s="275"/>
      <c r="AD151" s="275"/>
      <c r="AE151" s="275"/>
      <c r="AF151" s="275"/>
      <c r="AG151" s="275"/>
      <c r="AH151" s="275"/>
      <c r="AI151" s="275"/>
      <c r="AJ151" s="275"/>
      <c r="AK151" s="275"/>
      <c r="AL151" s="275"/>
    </row>
    <row r="152" spans="4:38">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275"/>
      <c r="AB152" s="275"/>
      <c r="AC152" s="275"/>
      <c r="AD152" s="275"/>
      <c r="AE152" s="275"/>
      <c r="AF152" s="275"/>
      <c r="AG152" s="275"/>
      <c r="AH152" s="275"/>
      <c r="AI152" s="275"/>
      <c r="AJ152" s="275"/>
      <c r="AK152" s="275"/>
      <c r="AL152" s="275"/>
    </row>
    <row r="153" spans="4:38">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275"/>
      <c r="AB153" s="275"/>
      <c r="AC153" s="275"/>
      <c r="AD153" s="275"/>
      <c r="AE153" s="275"/>
      <c r="AF153" s="275"/>
      <c r="AG153" s="275"/>
      <c r="AH153" s="275"/>
      <c r="AI153" s="275"/>
      <c r="AJ153" s="275"/>
      <c r="AK153" s="275"/>
      <c r="AL153" s="275"/>
    </row>
    <row r="154" spans="4:38">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275"/>
      <c r="AB154" s="275"/>
      <c r="AC154" s="275"/>
      <c r="AD154" s="275"/>
      <c r="AE154" s="275"/>
      <c r="AF154" s="275"/>
      <c r="AG154" s="275"/>
      <c r="AH154" s="275"/>
      <c r="AI154" s="275"/>
      <c r="AJ154" s="275"/>
      <c r="AK154" s="275"/>
      <c r="AL154" s="275"/>
    </row>
    <row r="155" spans="4:38">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275"/>
      <c r="AB155" s="275"/>
      <c r="AC155" s="275"/>
      <c r="AD155" s="275"/>
      <c r="AE155" s="275"/>
      <c r="AF155" s="275"/>
      <c r="AG155" s="275"/>
      <c r="AH155" s="275"/>
      <c r="AI155" s="275"/>
      <c r="AJ155" s="275"/>
      <c r="AK155" s="275"/>
      <c r="AL155" s="275"/>
    </row>
    <row r="162" spans="1:3">
      <c r="A162" s="10" t="e">
        <f>VLOOKUP(561.16,Language!$C$6:$K$5262,#REF!+1,FALSE)</f>
        <v>#REF!</v>
      </c>
      <c r="C162" s="10" t="e">
        <f>VLOOKUP(561.11,Language!$C$6:$K$5262,#REF!+1,FALSE)</f>
        <v>#REF!</v>
      </c>
    </row>
    <row r="163" spans="1:3">
      <c r="A163" s="10" t="e">
        <f>VLOOKUP(561.17,Language!$C$6:$K$5262,#REF!+1,FALSE)</f>
        <v>#REF!</v>
      </c>
      <c r="C163" s="10" t="e">
        <f>VLOOKUP(561.12,Language!$C$6:$K$5262,#REF!+1,FALSE)</f>
        <v>#REF!</v>
      </c>
    </row>
    <row r="164" spans="1:3">
      <c r="A164" s="10" t="e">
        <f>VLOOKUP(561.18,Language!$C$6:$K$5262,#REF!+1,FALSE)</f>
        <v>#REF!</v>
      </c>
      <c r="C164" s="10" t="e">
        <f>VLOOKUP(561.13,Language!$C$6:$K$5262,#REF!+1,FALSE)</f>
        <v>#REF!</v>
      </c>
    </row>
    <row r="165" spans="1:3">
      <c r="A165" s="10" t="e">
        <f>VLOOKUP(561.19,Language!$C$6:$K$5262,#REF!+1,FALSE)</f>
        <v>#REF!</v>
      </c>
    </row>
    <row r="166" spans="1:3">
      <c r="A166" s="10" t="e">
        <f>VLOOKUP(561.2,Language!$C$6:$K$5262,#REF!+1,FALSE)</f>
        <v>#REF!</v>
      </c>
    </row>
    <row r="167" spans="1:3">
      <c r="A167" s="10" t="e">
        <f>VLOOKUP(561.21,Language!$C$6:$K$5262,#REF!+1,FALSE)</f>
        <v>#REF!</v>
      </c>
    </row>
    <row r="168" spans="1:3">
      <c r="A168" s="10" t="e">
        <f>VLOOKUP(561.22,Language!$C$6:$K$5262,#REF!+1,FALSE)</f>
        <v>#REF!</v>
      </c>
    </row>
    <row r="169" spans="1:3">
      <c r="A169" s="10" t="e">
        <f>VLOOKUP(561.23,Language!$C$6:$K$5262,#REF!+1,FALSE)</f>
        <v>#REF!</v>
      </c>
    </row>
    <row r="170" spans="1:3">
      <c r="A170" s="10" t="e">
        <f>VLOOKUP(561.24,Language!$C$6:$K$5262,#REF!+1,FALSE)</f>
        <v>#REF!</v>
      </c>
    </row>
    <row r="171" spans="1:3">
      <c r="A171" s="10" t="e">
        <f>VLOOKUP(561.25,Language!$C$6:$K$5262,#REF!+1,FALSE)</f>
        <v>#REF!</v>
      </c>
    </row>
    <row r="172" spans="1:3">
      <c r="A172" s="10" t="e">
        <f>VLOOKUP(561.26,Language!$C$6:$K$5262,#REF!+1,FALSE)</f>
        <v>#REF!</v>
      </c>
    </row>
    <row r="173" spans="1:3">
      <c r="A173" s="10" t="e">
        <f>VLOOKUP(561.27,Language!$C$6:$K$5262,#REF!+1,FALSE)</f>
        <v>#REF!</v>
      </c>
    </row>
    <row r="174" spans="1:3">
      <c r="A174" s="10" t="e">
        <f>VLOOKUP(561.28,Language!$C$6:$K$5262,#REF!+1,FALSE)</f>
        <v>#REF!</v>
      </c>
    </row>
    <row r="175" spans="1:3">
      <c r="A175" s="10" t="e">
        <f>VLOOKUP(561.29,Language!$C$6:$K$5262,#REF!+1,FALSE)</f>
        <v>#REF!</v>
      </c>
    </row>
    <row r="176" spans="1:3">
      <c r="A176" s="10" t="e">
        <f>VLOOKUP(561.3,Language!$C$6:$K$5262,#REF!+1,FALSE)</f>
        <v>#REF!</v>
      </c>
    </row>
    <row r="177" spans="1:8">
      <c r="A177" s="10" t="e">
        <f>VLOOKUP(561.31,Language!$C$6:$K$5262,#REF!+1,FALSE)</f>
        <v>#REF!</v>
      </c>
    </row>
    <row r="180" spans="1:8">
      <c r="A180" s="10" t="e">
        <f>INDEX(Language!$D$6:$K$1231,1181,#REF!)</f>
        <v>#REF!</v>
      </c>
    </row>
    <row r="181" spans="1:8">
      <c r="A181" s="10" t="e">
        <f>INDEX(Language!$D$6:$K$1231,1182,#REF!)</f>
        <v>#REF!</v>
      </c>
    </row>
    <row r="182" spans="1:8">
      <c r="A182" s="10" t="s">
        <v>1600</v>
      </c>
    </row>
    <row r="190" spans="1:8">
      <c r="A190" s="324" t="s">
        <v>1601</v>
      </c>
      <c r="F190"/>
      <c r="G190"/>
      <c r="H190"/>
    </row>
    <row r="191" spans="1:8">
      <c r="A191" s="298"/>
      <c r="F191"/>
      <c r="G191"/>
      <c r="H191"/>
    </row>
    <row r="192" spans="1:8">
      <c r="A192" s="324"/>
      <c r="F192"/>
      <c r="G192"/>
      <c r="H192"/>
    </row>
    <row r="193" spans="1:8">
      <c r="A193" s="298" t="e">
        <f>INDEX(Language!$D$6:$K$1231,1112,#REF!)</f>
        <v>#REF!</v>
      </c>
      <c r="E193" s="3" t="s">
        <v>1180</v>
      </c>
      <c r="F193"/>
    </row>
    <row r="194" spans="1:8">
      <c r="A194" s="298" t="e">
        <f>INDEX(Language!$D$6:$K$1729,1113,#REF!)</f>
        <v>#REF!</v>
      </c>
      <c r="E194" s="10" t="e">
        <f>INDEX(Language!$D$6:$K$1231,1111,#REF!)</f>
        <v>#REF!</v>
      </c>
      <c r="F194"/>
      <c r="H194"/>
    </row>
    <row r="195" spans="1:8">
      <c r="A195" s="298" t="e">
        <f>INDEX(Language!$D$6:$K$2229,1737,#REF!)</f>
        <v>#REF!</v>
      </c>
      <c r="E195" s="10" t="e">
        <f>INDEX(Language!$D$6:$K$1231,1112,#REF!)</f>
        <v>#REF!</v>
      </c>
      <c r="F195"/>
      <c r="G195" s="6"/>
      <c r="H195"/>
    </row>
    <row r="196" spans="1:8">
      <c r="A196" s="298" t="e">
        <f>INDEX(Language!$D$6:$K$2229,1738,#REF!)</f>
        <v>#REF!</v>
      </c>
      <c r="B196" s="184"/>
      <c r="E196" s="10" t="e">
        <f>INDEX(Language!$D$6:$K$1231,1113,#REF!)</f>
        <v>#REF!</v>
      </c>
      <c r="F196"/>
      <c r="G196" s="6"/>
      <c r="H196"/>
    </row>
    <row r="197" spans="1:8">
      <c r="A197" s="298" t="e">
        <f>INDEX(Language!$D$6:$K$2227,1727,#REF!)</f>
        <v>#REF!</v>
      </c>
      <c r="B197" s="184"/>
      <c r="E197" s="10" t="e">
        <f>INDEX(Language!$D$6:$K$1231,1114,#REF!)</f>
        <v>#REF!</v>
      </c>
      <c r="F197"/>
      <c r="G197" s="6"/>
      <c r="H197"/>
    </row>
    <row r="198" spans="1:8">
      <c r="A198" s="298" t="e">
        <f>INDEX(Language!$D$6:$K$1231,1134,#REF!)</f>
        <v>#REF!</v>
      </c>
      <c r="B198" s="184"/>
      <c r="E198" s="184" t="e">
        <f>INDEX(Language!$D$6:$K$2227,1727,#REF!)</f>
        <v>#REF!</v>
      </c>
      <c r="F198"/>
      <c r="G198" s="6"/>
      <c r="H198"/>
    </row>
    <row r="199" spans="1:8">
      <c r="A199" s="298" t="e">
        <f>INDEX(Language!$D$6:$K$1231,1115,#REF!)</f>
        <v>#REF!</v>
      </c>
      <c r="B199" s="184"/>
      <c r="E199" s="10" t="e">
        <f>INDEX(Language!$D$6:$K$1231,1134,#REF!)</f>
        <v>#REF!</v>
      </c>
      <c r="F199"/>
      <c r="G199" s="6"/>
      <c r="H199"/>
    </row>
    <row r="200" spans="1:8">
      <c r="A200" s="298" t="e">
        <f>INDEX(Language!$D$6:$K$2229,1734,#REF!)</f>
        <v>#REF!</v>
      </c>
      <c r="B200" s="184"/>
      <c r="E200" s="10" t="e">
        <f>INDEX(Language!$D$6:$K$1231,1115,#REF!)</f>
        <v>#REF!</v>
      </c>
      <c r="F200"/>
      <c r="G200" s="6"/>
      <c r="H200"/>
    </row>
    <row r="201" spans="1:8">
      <c r="A201" s="298" t="e">
        <f>INDEX(Language!$D$6:$K$1231,1127,#REF!)</f>
        <v>#REF!</v>
      </c>
      <c r="B201" s="184"/>
      <c r="C201" s="184"/>
      <c r="E201" s="10" t="e">
        <f>INDEX(Language!$D$6:$K$2229,1734,#REF!)</f>
        <v>#REF!</v>
      </c>
      <c r="F201"/>
      <c r="G201" s="6"/>
      <c r="H201"/>
    </row>
    <row r="202" spans="1:8">
      <c r="A202" s="298" t="e">
        <f>INDEX(Language!$D$6:$K$1231,1116,#REF!)</f>
        <v>#REF!</v>
      </c>
      <c r="B202" s="184"/>
      <c r="C202" s="184"/>
      <c r="E202" s="10" t="e">
        <f>INDEX(Language!$D$6:$K$1231,1127,#REF!)</f>
        <v>#REF!</v>
      </c>
      <c r="F202"/>
      <c r="G202" s="6"/>
      <c r="H202"/>
    </row>
    <row r="203" spans="1:8">
      <c r="A203" s="298" t="e">
        <f>INDEX(Language!$D$6:$K$1231,1117,#REF!)</f>
        <v>#REF!</v>
      </c>
      <c r="B203" s="184"/>
      <c r="C203" s="184"/>
      <c r="E203" s="10" t="e">
        <f>INDEX(Language!$D$6:$K$1231,1116,#REF!)</f>
        <v>#REF!</v>
      </c>
      <c r="F203"/>
      <c r="G203" s="6"/>
      <c r="H203"/>
    </row>
    <row r="204" spans="1:8">
      <c r="A204" s="298" t="e">
        <f>INDEX(Language!$D$6:$K$1231,1118,#REF!)</f>
        <v>#REF!</v>
      </c>
      <c r="B204" s="184"/>
      <c r="C204" s="184"/>
      <c r="E204" s="10" t="e">
        <f>INDEX(Language!$D$6:$K$1231,1117,#REF!)</f>
        <v>#REF!</v>
      </c>
      <c r="F204"/>
      <c r="G204" s="6"/>
      <c r="H204"/>
    </row>
    <row r="205" spans="1:8">
      <c r="A205" s="298" t="e">
        <f>INDEX(Language!$D$6:$K$1231,1119,#REF!)</f>
        <v>#REF!</v>
      </c>
      <c r="B205" s="184"/>
      <c r="E205" s="10" t="e">
        <f>INDEX(Language!$D$6:$K$1231,1118,#REF!)</f>
        <v>#REF!</v>
      </c>
      <c r="F205"/>
      <c r="G205" s="6"/>
      <c r="H205"/>
    </row>
    <row r="206" spans="1:8">
      <c r="A206" s="298" t="e">
        <f>INDEX(Language!$D$6:$K$1231,1132,#REF!)</f>
        <v>#REF!</v>
      </c>
      <c r="B206" s="184"/>
      <c r="E206" s="10" t="e">
        <f>INDEX(Language!$D$6:$K$1231,1119,#REF!)</f>
        <v>#REF!</v>
      </c>
      <c r="F206"/>
      <c r="G206" s="6"/>
      <c r="H206"/>
    </row>
    <row r="207" spans="1:8">
      <c r="A207" s="298" t="e">
        <f>INDEX(Language!$D$6:$K$1231,1120,#REF!)</f>
        <v>#REF!</v>
      </c>
      <c r="B207" s="184"/>
      <c r="E207" s="10" t="e">
        <f>INDEX(Language!$D$6:$K$1231,1132,#REF!)</f>
        <v>#REF!</v>
      </c>
      <c r="F207"/>
      <c r="G207" s="6"/>
      <c r="H207"/>
    </row>
    <row r="208" spans="1:8">
      <c r="A208" s="298" t="e">
        <f>INDEX(Language!$D$6:$K$1231,1121,#REF!)</f>
        <v>#REF!</v>
      </c>
      <c r="B208" s="184"/>
      <c r="E208" s="10" t="e">
        <f>INDEX(Language!$D$6:$K$1231,1120,#REF!)</f>
        <v>#REF!</v>
      </c>
      <c r="F208"/>
      <c r="G208" s="6"/>
      <c r="H208"/>
    </row>
    <row r="209" spans="1:8">
      <c r="A209" s="298" t="e">
        <f>INDEX(Language!$D$6:$K$1998,1735,#REF!)</f>
        <v>#REF!</v>
      </c>
      <c r="B209" s="184"/>
      <c r="E209" s="10" t="e">
        <f>INDEX(Language!$D$6:$K$1231,1121,#REF!)</f>
        <v>#REF!</v>
      </c>
      <c r="F209"/>
      <c r="G209" s="6"/>
      <c r="H209"/>
    </row>
    <row r="210" spans="1:8">
      <c r="A210" s="298" t="e">
        <f>INDEX(Language!$D$6:$K$2229,1739,#REF!)</f>
        <v>#REF!</v>
      </c>
      <c r="B210" s="184"/>
      <c r="E210" s="10" t="e">
        <f>INDEX(Language!$D$6:$K$1231,1122,#REF!)</f>
        <v>#REF!</v>
      </c>
      <c r="F210"/>
      <c r="G210" s="6"/>
      <c r="H210"/>
    </row>
    <row r="211" spans="1:8">
      <c r="A211" s="298" t="e">
        <f>INDEX(Language!$D$6:$K$2229,1736,#REF!)</f>
        <v>#REF!</v>
      </c>
      <c r="B211" s="184"/>
      <c r="E211" s="10" t="e">
        <f>INDEX(Language!$D$6:$K$1998,1735,#REF!)</f>
        <v>#REF!</v>
      </c>
      <c r="F211"/>
      <c r="G211" s="6"/>
      <c r="H211"/>
    </row>
    <row r="212" spans="1:8">
      <c r="A212" s="298" t="e">
        <f>INDEX(Language!$D$6:$K$2227,1728,#REF!)</f>
        <v>#REF!</v>
      </c>
      <c r="B212" s="184"/>
      <c r="E212" s="10" t="e">
        <f>INDEX(Language!$D$6:$K$2229,1736,#REF!)</f>
        <v>#REF!</v>
      </c>
      <c r="F212"/>
      <c r="G212" s="6"/>
      <c r="H212"/>
    </row>
    <row r="213" spans="1:8">
      <c r="A213" s="298" t="e">
        <f>INDEX(Language!$D$6:$K$2229,1740,#REF!)</f>
        <v>#REF!</v>
      </c>
      <c r="B213" s="184"/>
      <c r="E213" s="10" t="e">
        <f>INDEX(Language!$D$6:$K$1231,1123,#REF!)</f>
        <v>#REF!</v>
      </c>
      <c r="F213"/>
      <c r="G213" s="6"/>
      <c r="H213"/>
    </row>
    <row r="214" spans="1:8">
      <c r="A214" s="298" t="e">
        <f>INDEX(Language!$D$6:$K$1231,1123,#REF!)</f>
        <v>#REF!</v>
      </c>
      <c r="B214" s="184"/>
      <c r="E214" s="10" t="e">
        <f>INDEX(Language!$D$6:$K$2227,1719,#REF!)</f>
        <v>#REF!</v>
      </c>
      <c r="F214"/>
      <c r="G214" s="6"/>
      <c r="H214"/>
    </row>
    <row r="215" spans="1:8">
      <c r="A215" s="298" t="e">
        <f>INDEX(Language!$D$6:$K$1231,1124,#REF!)</f>
        <v>#REF!</v>
      </c>
      <c r="B215" s="184"/>
      <c r="E215" s="184" t="e">
        <f>INDEX(Language!$D$6:$K$2227,1124,#REF!)</f>
        <v>#REF!</v>
      </c>
      <c r="F215"/>
      <c r="G215" s="6"/>
      <c r="H215"/>
    </row>
    <row r="216" spans="1:8">
      <c r="A216" s="298" t="e">
        <f>INDEX(Language!$D$6:$K$1231,1125,#REF!)</f>
        <v>#REF!</v>
      </c>
      <c r="B216" s="184"/>
      <c r="E216" s="184" t="e">
        <f>INDEX(Language!$D$6:$K$2227,1125,#REF!)</f>
        <v>#REF!</v>
      </c>
      <c r="F216"/>
      <c r="G216" s="6"/>
      <c r="H216"/>
    </row>
    <row r="217" spans="1:8">
      <c r="A217" s="298" t="e">
        <f>INDEX(Language!$D$6:$K$1231,1126,#REF!)</f>
        <v>#REF!</v>
      </c>
      <c r="B217" s="184"/>
      <c r="E217" s="10" t="e">
        <f>INDEX(Language!$D$6:$K$1998,1126,#REF!)</f>
        <v>#REF!</v>
      </c>
      <c r="F217"/>
      <c r="G217" s="6"/>
      <c r="H217"/>
    </row>
    <row r="218" spans="1:8">
      <c r="A218" s="298" t="e">
        <f>INDEX(Language!$D$6:$K$2227,1729,#REF!)</f>
        <v>#REF!</v>
      </c>
      <c r="E218" s="10" t="e">
        <f>INDEX(Language!$D$6:$K$1998,1729,#REF!)</f>
        <v>#REF!</v>
      </c>
      <c r="F218"/>
      <c r="G218" s="6"/>
      <c r="H218"/>
    </row>
    <row r="219" spans="1:8">
      <c r="A219" s="298" t="e">
        <f>INDEX(Language!$D$6:$K$2227,1730,#REF!)</f>
        <v>#REF!</v>
      </c>
      <c r="E219" s="10" t="e">
        <f>INDEX(Language!$D$6:$K$2229,1730,#REF!)</f>
        <v>#REF!</v>
      </c>
      <c r="F219"/>
      <c r="G219" s="6"/>
      <c r="H219"/>
    </row>
    <row r="220" spans="1:8">
      <c r="A220" s="298" t="e">
        <f>INDEX(Language!$D$6:$K$2227,1731,#REF!)</f>
        <v>#REF!</v>
      </c>
      <c r="E220" s="298" t="e">
        <f>INDEX(Language!$D$6:$K$2229,1716,#REF!)</f>
        <v>#REF!</v>
      </c>
      <c r="F220"/>
      <c r="G220" s="6"/>
      <c r="H220"/>
    </row>
    <row r="221" spans="1:8">
      <c r="A221" s="298" t="e">
        <f>INDEX(Language!$D$6:$K$2229,1741,#REF!)</f>
        <v>#REF!</v>
      </c>
      <c r="E221" s="10" t="e">
        <f>INDEX(Language!$D$6:$K$2229,1718,#REF!)</f>
        <v>#REF!</v>
      </c>
      <c r="F221"/>
      <c r="G221" s="6"/>
      <c r="H221"/>
    </row>
    <row r="222" spans="1:8">
      <c r="A222" s="298" t="e">
        <f>INDEX(Language!$D$6:$K$1231,1128,#REF!)</f>
        <v>#REF!</v>
      </c>
      <c r="E222" s="10" t="e">
        <f>INDEX(Language!$D$6:$K$2229,1731,#REF!)</f>
        <v>#REF!</v>
      </c>
      <c r="F222"/>
      <c r="G222" s="6"/>
      <c r="H222"/>
    </row>
    <row r="223" spans="1:8">
      <c r="A223" s="298" t="e">
        <f>INDEX(Language!$D$6:$K$1231,1129,#REF!)</f>
        <v>#REF!</v>
      </c>
      <c r="E223" s="184" t="e">
        <f>INDEX(Language!$D$6:$K$2227,1128,#REF!)</f>
        <v>#REF!</v>
      </c>
      <c r="F223"/>
      <c r="G223" s="6"/>
      <c r="H223"/>
    </row>
    <row r="224" spans="1:8">
      <c r="A224" s="298" t="e">
        <f>INDEX(Language!$D$6:$K$1231,1130,#REF!)</f>
        <v>#REF!</v>
      </c>
      <c r="E224" s="10" t="e">
        <f>INDEX(Language!$D$6:$K$1231,1129,#REF!)</f>
        <v>#REF!</v>
      </c>
      <c r="F224"/>
      <c r="G224" s="6"/>
      <c r="H224"/>
    </row>
    <row r="225" spans="1:8">
      <c r="A225" s="298" t="e">
        <f>INDEX(Language!$D$6:$K$2227,1733,#REF!)</f>
        <v>#REF!</v>
      </c>
      <c r="E225" s="10" t="e">
        <f>INDEX(Language!$D$6:$K$1231,1130,#REF!)</f>
        <v>#REF!</v>
      </c>
      <c r="F225"/>
      <c r="G225" s="6"/>
      <c r="H225"/>
    </row>
    <row r="226" spans="1:8">
      <c r="A226" s="298" t="e">
        <f>INDEX(Language!$D$6:$K$1231,1131,#REF!)</f>
        <v>#REF!</v>
      </c>
      <c r="E226" s="10" t="e">
        <f>INDEX(Language!$D$6:$K$2227,1733,#REF!)</f>
        <v>#REF!</v>
      </c>
      <c r="F226"/>
      <c r="G226" s="6"/>
      <c r="H226"/>
    </row>
    <row r="227" spans="1:8">
      <c r="A227" s="298" t="e">
        <f>INDEX(Language!$D$6:$K$1231,1111,#REF!)</f>
        <v>#REF!</v>
      </c>
      <c r="E227" s="10" t="e">
        <f>INDEX(Language!$D$6:$K$1231,1131,#REF!)</f>
        <v>#REF!</v>
      </c>
      <c r="F227"/>
      <c r="G227" s="6"/>
      <c r="H227"/>
    </row>
    <row r="228" spans="1:8">
      <c r="A228" s="298" t="e">
        <f>INDEX(Language!$D$6:$K$2229,1742,#REF!)</f>
        <v>#REF!</v>
      </c>
      <c r="E228" s="10" t="e">
        <f>INDEX(Language!$D$6:$K$1231,1133,#REF!)</f>
        <v>#REF!</v>
      </c>
      <c r="F228"/>
      <c r="G228" s="6"/>
      <c r="H228"/>
    </row>
    <row r="229" spans="1:8">
      <c r="A229" s="298" t="e">
        <f>INDEX(Language!$D$6:$K$2229,1743,#REF!)</f>
        <v>#REF!</v>
      </c>
      <c r="F229"/>
      <c r="G229" s="6"/>
      <c r="H229"/>
    </row>
    <row r="230" spans="1:8">
      <c r="A230" s="298" t="e">
        <f>INDEX(Language!$D$6:$K$2229,1744,#REF!)</f>
        <v>#REF!</v>
      </c>
      <c r="F230"/>
      <c r="G230" s="6"/>
      <c r="H230"/>
    </row>
    <row r="231" spans="1:8">
      <c r="A231" s="298" t="e">
        <f>INDEX(Language!$D$6:$K$1231,1122,#REF!)</f>
        <v>#REF!</v>
      </c>
      <c r="F231"/>
      <c r="G231" s="321"/>
      <c r="H231"/>
    </row>
    <row r="232" spans="1:8">
      <c r="A232" s="298" t="e">
        <f>INDEX(Language!$D$6:$K$2229,1719,#REF!)</f>
        <v>#REF!</v>
      </c>
      <c r="F232"/>
      <c r="G232" s="6"/>
      <c r="H232"/>
    </row>
    <row r="233" spans="1:8">
      <c r="A233" s="298" t="e">
        <f>INDEX(Language!$D$6:$K$2229,1745,#REF!)</f>
        <v>#REF!</v>
      </c>
      <c r="F233"/>
      <c r="G233" s="6"/>
      <c r="H233"/>
    </row>
    <row r="234" spans="1:8">
      <c r="A234" s="298" t="e">
        <f>INDEX(Language!$D$6:$K$2229,1746,#REF!)</f>
        <v>#REF!</v>
      </c>
      <c r="F234"/>
      <c r="G234" s="6"/>
      <c r="H234"/>
    </row>
    <row r="235" spans="1:8">
      <c r="A235" s="298" t="e">
        <f>INDEX(Language!$D$6:$K$2229,1716,#REF!)</f>
        <v>#REF!</v>
      </c>
      <c r="F235"/>
      <c r="G235" s="6"/>
      <c r="H235"/>
    </row>
    <row r="236" spans="1:8">
      <c r="A236" s="298" t="e">
        <f>INDEX(Language!$D$6:$K$2229,1718,#REF!)</f>
        <v>#REF!</v>
      </c>
      <c r="F236"/>
      <c r="G236" s="6"/>
      <c r="H236"/>
    </row>
    <row r="237" spans="1:8">
      <c r="A237" s="298" t="e">
        <f>INDEX(Language!$D$6:$K$2229,1747,#REF!)</f>
        <v>#REF!</v>
      </c>
      <c r="F237"/>
      <c r="G237" s="6"/>
      <c r="H237"/>
    </row>
    <row r="238" spans="1:8">
      <c r="A238" s="298" t="e">
        <f>INDEX(Language!$D$6:$K$2229,1748,#REF!)</f>
        <v>#REF!</v>
      </c>
      <c r="B238"/>
      <c r="C238"/>
      <c r="F238"/>
      <c r="G238" s="321"/>
      <c r="H238"/>
    </row>
    <row r="239" spans="1:8">
      <c r="A239" s="298" t="e">
        <f>INDEX(Language!$D$6:$K$2229,1749,#REF!)</f>
        <v>#REF!</v>
      </c>
      <c r="B239"/>
      <c r="C239"/>
      <c r="F239"/>
      <c r="G239" s="6"/>
      <c r="H239"/>
    </row>
    <row r="240" spans="1:8">
      <c r="A240" s="298" t="e">
        <f>INDEX(Language!$D$6:$K$2229,1750,#REF!)</f>
        <v>#REF!</v>
      </c>
      <c r="B240"/>
      <c r="C240"/>
      <c r="F240"/>
      <c r="G240" s="6"/>
      <c r="H240"/>
    </row>
    <row r="241" spans="1:8">
      <c r="A241" s="298" t="e">
        <f>INDEX(Language!$D$6:$K$2229,1751,#REF!)</f>
        <v>#REF!</v>
      </c>
      <c r="B241"/>
      <c r="C241"/>
      <c r="F241"/>
      <c r="G241" s="6"/>
      <c r="H241"/>
    </row>
    <row r="242" spans="1:8">
      <c r="A242" s="298" t="e">
        <f>INDEX(Language!$D$6:$K$2227,1114,#REF!)</f>
        <v>#REF!</v>
      </c>
      <c r="B242"/>
      <c r="C242"/>
      <c r="F242"/>
      <c r="G242" s="6"/>
      <c r="H242"/>
    </row>
    <row r="243" spans="1:8">
      <c r="A243" s="298" t="e">
        <f>INDEX(Language!$D$6:$K$2229,1752,#REF!)</f>
        <v>#REF!</v>
      </c>
      <c r="B243"/>
      <c r="C243"/>
      <c r="F243"/>
      <c r="G243" s="6"/>
      <c r="H243"/>
    </row>
    <row r="244" spans="1:8">
      <c r="A244" s="298" t="e">
        <f>INDEX(Language!$D$6:$K$2229,1755,#REF!)</f>
        <v>#REF!</v>
      </c>
      <c r="B244"/>
      <c r="C244"/>
      <c r="F244"/>
      <c r="G244" s="6"/>
      <c r="H244"/>
    </row>
    <row r="245" spans="1:8">
      <c r="A245" s="298" t="e">
        <f>INDEX(Language!$D$6:$K$2229,1753,#REF!)</f>
        <v>#REF!</v>
      </c>
      <c r="B245"/>
      <c r="C245"/>
      <c r="F245"/>
      <c r="G245" s="6"/>
      <c r="H245"/>
    </row>
    <row r="246" spans="1:8">
      <c r="A246" s="298" t="e">
        <f>INDEX(Language!$D$6:$K$2229,1754,#REF!)</f>
        <v>#REF!</v>
      </c>
      <c r="B246"/>
      <c r="C246"/>
      <c r="F246"/>
      <c r="G246" s="6"/>
      <c r="H246"/>
    </row>
    <row r="247" spans="1:8">
      <c r="A247" s="298" t="e">
        <f>INDEX(Language!$D$6:$K$2227,1732,#REF!)</f>
        <v>#REF!</v>
      </c>
      <c r="B247"/>
      <c r="C247"/>
      <c r="F247"/>
      <c r="G247" s="6"/>
      <c r="H247"/>
    </row>
    <row r="248" spans="1:8">
      <c r="A248" s="298" t="e">
        <f>INDEX(Language!$D$6:$K$1231,1133,#REF!)</f>
        <v>#REF!</v>
      </c>
      <c r="B248"/>
      <c r="C248"/>
      <c r="F248"/>
      <c r="G248" s="6"/>
      <c r="H248"/>
    </row>
    <row r="249" spans="1:8">
      <c r="A249" s="298"/>
      <c r="B249"/>
      <c r="C249"/>
      <c r="G249" s="6"/>
      <c r="H249"/>
    </row>
    <row r="250" spans="1:8">
      <c r="B250"/>
      <c r="C250"/>
      <c r="G250" s="6"/>
      <c r="H250"/>
    </row>
    <row r="251" spans="1:8">
      <c r="B251"/>
      <c r="C251"/>
    </row>
    <row r="252" spans="1:8">
      <c r="B252"/>
      <c r="C252"/>
    </row>
    <row r="253" spans="1:8">
      <c r="B253"/>
      <c r="C253"/>
    </row>
    <row r="254" spans="1:8">
      <c r="B254"/>
      <c r="C254"/>
    </row>
    <row r="255" spans="1:8">
      <c r="B255"/>
      <c r="C255"/>
    </row>
    <row r="986" spans="5:5">
      <c r="E986" s="184"/>
    </row>
  </sheetData>
  <customSheetViews>
    <customSheetView guid="{177A950E-F986-4F9F-BF7A-3EE97148E8BF}" scale="70" fitToPage="1" showRuler="0" topLeftCell="V1">
      <selection activeCell="AF4" sqref="AF4"/>
      <pageMargins left="0" right="0" top="0" bottom="0" header="0" footer="0"/>
      <pageSetup paperSize="9" scale="31" orientation="landscape" verticalDpi="0" r:id="rId1"/>
      <headerFooter alignWithMargins="0"/>
    </customSheetView>
    <customSheetView guid="{51EFF3A7-EBAD-4444-AC2F-4C032192BE96}" scale="85" fitToPage="1" state="veryHidden">
      <pageMargins left="0" right="0" top="0" bottom="0" header="0" footer="0"/>
      <pageSetup paperSize="9" scale="30" orientation="landscape" r:id="rId2"/>
      <headerFooter alignWithMargins="0"/>
    </customSheetView>
  </customSheetViews>
  <phoneticPr fontId="8" type="noConversion"/>
  <pageMargins left="0.75" right="0.75" top="1" bottom="1" header="0.5" footer="0.5"/>
  <pageSetup paperSize="9" scale="26" orientation="landscape" r:id="rId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M1889"/>
  <sheetViews>
    <sheetView topLeftCell="B1883" zoomScaleNormal="100" workbookViewId="0">
      <selection activeCell="E1900" sqref="E1900"/>
    </sheetView>
  </sheetViews>
  <sheetFormatPr defaultColWidth="9.140625" defaultRowHeight="12.75"/>
  <cols>
    <col min="1" max="1" width="13.28515625" style="64" customWidth="1"/>
    <col min="2" max="2" width="9.140625" style="64"/>
    <col min="3" max="3" width="19.42578125" style="64" bestFit="1" customWidth="1"/>
    <col min="4" max="4" width="47.42578125" style="64" customWidth="1"/>
    <col min="5" max="5" width="48.5703125" style="301" customWidth="1"/>
    <col min="6" max="6" width="55.7109375" style="64" customWidth="1"/>
    <col min="7" max="7" width="54.7109375" style="64" customWidth="1"/>
    <col min="8" max="8" width="61" style="64" customWidth="1"/>
    <col min="9" max="16384" width="9.140625" style="64"/>
  </cols>
  <sheetData>
    <row r="1" spans="1:11" ht="12.75" customHeight="1">
      <c r="A1" s="540" t="s">
        <v>1602</v>
      </c>
      <c r="B1" s="540"/>
      <c r="E1" s="64"/>
    </row>
    <row r="2" spans="1:11">
      <c r="A2" s="65" t="s">
        <v>1603</v>
      </c>
      <c r="E2" s="64"/>
    </row>
    <row r="3" spans="1:11">
      <c r="A3" s="65" t="s">
        <v>1604</v>
      </c>
      <c r="E3" s="64"/>
    </row>
    <row r="4" spans="1:11">
      <c r="A4" s="65" t="s">
        <v>1566</v>
      </c>
      <c r="E4" s="64"/>
    </row>
    <row r="5" spans="1:11" ht="13.5" thickBot="1">
      <c r="A5" s="65"/>
      <c r="D5" s="66" t="s">
        <v>1603</v>
      </c>
      <c r="E5" s="64" t="s">
        <v>1604</v>
      </c>
      <c r="F5" s="64" t="s">
        <v>1566</v>
      </c>
    </row>
    <row r="6" spans="1:11" ht="204.75">
      <c r="C6" s="20">
        <v>1</v>
      </c>
      <c r="D6" s="67" t="s">
        <v>1605</v>
      </c>
      <c r="E6" s="179" t="s">
        <v>1606</v>
      </c>
      <c r="F6" s="67" t="s">
        <v>1607</v>
      </c>
      <c r="H6" s="140"/>
      <c r="I6" s="140"/>
      <c r="J6" s="140"/>
      <c r="K6" s="141"/>
    </row>
    <row r="7" spans="1:11" ht="12.75" customHeight="1">
      <c r="C7" s="20">
        <v>2</v>
      </c>
      <c r="D7" s="31" t="s">
        <v>1608</v>
      </c>
      <c r="E7" s="20" t="s">
        <v>1609</v>
      </c>
      <c r="F7" s="31" t="s">
        <v>1610</v>
      </c>
      <c r="K7" s="142"/>
    </row>
    <row r="8" spans="1:11" ht="12.75" customHeight="1">
      <c r="C8" s="20">
        <v>3</v>
      </c>
      <c r="D8" s="31" t="s">
        <v>1611</v>
      </c>
      <c r="E8" s="20" t="s">
        <v>1612</v>
      </c>
      <c r="F8" s="31" t="s">
        <v>1613</v>
      </c>
      <c r="K8" s="142"/>
    </row>
    <row r="9" spans="1:11" ht="12.75" customHeight="1">
      <c r="C9" s="20">
        <v>4</v>
      </c>
      <c r="D9" s="68" t="s">
        <v>1614</v>
      </c>
      <c r="E9" s="69" t="s">
        <v>1615</v>
      </c>
      <c r="F9" s="68" t="s">
        <v>1616</v>
      </c>
      <c r="K9" s="142"/>
    </row>
    <row r="10" spans="1:11" ht="25.5" customHeight="1">
      <c r="C10" s="20">
        <v>5</v>
      </c>
      <c r="D10" s="325" t="s">
        <v>1617</v>
      </c>
      <c r="E10" s="326" t="s">
        <v>1618</v>
      </c>
      <c r="F10" s="327" t="s">
        <v>1619</v>
      </c>
      <c r="K10" s="142"/>
    </row>
    <row r="11" spans="1:11" ht="12.75" customHeight="1">
      <c r="C11" s="20">
        <v>6</v>
      </c>
      <c r="D11" s="31"/>
      <c r="E11" s="20"/>
      <c r="F11" s="31"/>
      <c r="K11" s="142"/>
    </row>
    <row r="12" spans="1:11" ht="12.75" customHeight="1">
      <c r="C12" s="20">
        <v>7</v>
      </c>
      <c r="D12" s="32" t="s">
        <v>1620</v>
      </c>
      <c r="E12" s="22" t="s">
        <v>1621</v>
      </c>
      <c r="F12" s="32" t="s">
        <v>1622</v>
      </c>
      <c r="K12" s="142"/>
    </row>
    <row r="13" spans="1:11" ht="15.75" customHeight="1">
      <c r="C13" s="20">
        <v>8</v>
      </c>
      <c r="D13" s="33"/>
      <c r="E13" s="64"/>
      <c r="K13" s="142"/>
    </row>
    <row r="14" spans="1:11" ht="15.75" customHeight="1">
      <c r="C14" s="20">
        <v>9</v>
      </c>
      <c r="D14" s="34" t="s">
        <v>1623</v>
      </c>
      <c r="E14" s="17" t="s">
        <v>1624</v>
      </c>
      <c r="F14" s="34" t="s">
        <v>1625</v>
      </c>
      <c r="K14" s="142"/>
    </row>
    <row r="15" spans="1:11" ht="110.25">
      <c r="C15" s="20">
        <v>10</v>
      </c>
      <c r="D15" s="35" t="s">
        <v>1626</v>
      </c>
      <c r="E15" s="14" t="s">
        <v>1627</v>
      </c>
      <c r="F15" s="188" t="s">
        <v>1628</v>
      </c>
      <c r="K15" s="142"/>
    </row>
    <row r="16" spans="1:11" ht="78.75">
      <c r="C16" s="20">
        <v>11</v>
      </c>
      <c r="D16" s="35" t="s">
        <v>1629</v>
      </c>
      <c r="E16" s="14" t="s">
        <v>1630</v>
      </c>
      <c r="F16" s="188" t="s">
        <v>1631</v>
      </c>
      <c r="K16" s="142"/>
    </row>
    <row r="17" spans="3:11" ht="15.75">
      <c r="C17" s="20">
        <v>12</v>
      </c>
      <c r="D17" s="35"/>
      <c r="E17" s="13" t="s">
        <v>1632</v>
      </c>
      <c r="F17" s="188"/>
      <c r="K17" s="142"/>
    </row>
    <row r="18" spans="3:11" ht="299.25">
      <c r="C18" s="20">
        <v>13</v>
      </c>
      <c r="D18" s="35" t="s">
        <v>1633</v>
      </c>
      <c r="E18" s="14" t="s">
        <v>1634</v>
      </c>
      <c r="F18" s="188" t="s">
        <v>1635</v>
      </c>
      <c r="K18" s="142"/>
    </row>
    <row r="19" spans="3:11" ht="15.75" customHeight="1">
      <c r="C19" s="20">
        <v>14</v>
      </c>
      <c r="D19" s="35"/>
      <c r="E19" s="13"/>
      <c r="F19" s="188"/>
      <c r="K19" s="142"/>
    </row>
    <row r="20" spans="3:11" ht="15.75" customHeight="1">
      <c r="C20" s="20">
        <v>15</v>
      </c>
      <c r="D20" s="34" t="s">
        <v>1636</v>
      </c>
      <c r="E20" s="17" t="s">
        <v>1637</v>
      </c>
      <c r="F20" s="34" t="s">
        <v>1638</v>
      </c>
      <c r="K20" s="142"/>
    </row>
    <row r="21" spans="3:11" ht="47.25">
      <c r="C21" s="20">
        <v>16</v>
      </c>
      <c r="D21" s="35" t="s">
        <v>1639</v>
      </c>
      <c r="E21" s="14" t="s">
        <v>1640</v>
      </c>
      <c r="F21" s="188" t="s">
        <v>1641</v>
      </c>
      <c r="K21" s="142"/>
    </row>
    <row r="22" spans="3:11" ht="78.75">
      <c r="C22" s="20">
        <v>17</v>
      </c>
      <c r="D22" s="35" t="s">
        <v>1642</v>
      </c>
      <c r="E22" s="14" t="s">
        <v>1643</v>
      </c>
      <c r="F22" s="188" t="s">
        <v>1644</v>
      </c>
      <c r="K22" s="142"/>
    </row>
    <row r="23" spans="3:11" ht="15.75" customHeight="1">
      <c r="C23" s="20">
        <v>18</v>
      </c>
      <c r="D23" s="35" t="s">
        <v>1645</v>
      </c>
      <c r="E23" s="209" t="s">
        <v>1646</v>
      </c>
      <c r="F23" s="188" t="s">
        <v>1647</v>
      </c>
      <c r="K23" s="142"/>
    </row>
    <row r="24" spans="3:11" ht="15.75" customHeight="1">
      <c r="C24" s="20">
        <v>19</v>
      </c>
      <c r="D24" s="35" t="s">
        <v>1648</v>
      </c>
      <c r="E24" s="14" t="s">
        <v>1649</v>
      </c>
      <c r="F24" s="188" t="s">
        <v>1650</v>
      </c>
      <c r="K24" s="142"/>
    </row>
    <row r="25" spans="3:11" ht="15.75" customHeight="1">
      <c r="C25" s="20">
        <v>20</v>
      </c>
      <c r="D25" s="35" t="s">
        <v>1651</v>
      </c>
      <c r="E25" s="35" t="s">
        <v>1652</v>
      </c>
      <c r="F25" s="188" t="s">
        <v>1653</v>
      </c>
      <c r="K25" s="142"/>
    </row>
    <row r="26" spans="3:11" ht="122.25" customHeight="1">
      <c r="C26" s="20">
        <v>21</v>
      </c>
      <c r="D26" s="35" t="s">
        <v>1654</v>
      </c>
      <c r="E26" s="14" t="s">
        <v>1655</v>
      </c>
      <c r="F26" s="188" t="s">
        <v>1656</v>
      </c>
      <c r="K26" s="142"/>
    </row>
    <row r="27" spans="3:11" ht="63">
      <c r="C27" s="20">
        <v>22</v>
      </c>
      <c r="D27" s="35" t="s">
        <v>1657</v>
      </c>
      <c r="E27" s="14" t="s">
        <v>1658</v>
      </c>
      <c r="F27" s="188" t="s">
        <v>1659</v>
      </c>
      <c r="K27" s="142"/>
    </row>
    <row r="28" spans="3:11" ht="63">
      <c r="C28" s="20">
        <v>23</v>
      </c>
      <c r="D28" s="35" t="s">
        <v>1660</v>
      </c>
      <c r="E28" s="14" t="s">
        <v>1661</v>
      </c>
      <c r="F28" s="33" t="s">
        <v>1662</v>
      </c>
      <c r="K28" s="142"/>
    </row>
    <row r="29" spans="3:11" ht="157.5">
      <c r="C29" s="20">
        <v>24</v>
      </c>
      <c r="D29" s="35" t="s">
        <v>1663</v>
      </c>
      <c r="E29" s="14" t="s">
        <v>1664</v>
      </c>
      <c r="F29" s="188" t="s">
        <v>1665</v>
      </c>
      <c r="K29" s="142"/>
    </row>
    <row r="30" spans="3:11" ht="51.75" customHeight="1">
      <c r="C30" s="20">
        <v>25</v>
      </c>
      <c r="D30" s="35" t="s">
        <v>1666</v>
      </c>
      <c r="E30" s="14" t="s">
        <v>1667</v>
      </c>
      <c r="F30" s="188" t="s">
        <v>1668</v>
      </c>
      <c r="K30" s="142"/>
    </row>
    <row r="31" spans="3:11" ht="15.75" customHeight="1">
      <c r="C31" s="20">
        <v>26</v>
      </c>
      <c r="D31" s="34" t="s">
        <v>1669</v>
      </c>
      <c r="E31" s="210" t="s">
        <v>1670</v>
      </c>
      <c r="F31" s="34" t="s">
        <v>1671</v>
      </c>
      <c r="K31" s="142"/>
    </row>
    <row r="32" spans="3:11" ht="63">
      <c r="C32" s="20">
        <v>27</v>
      </c>
      <c r="D32" s="35" t="s">
        <v>1672</v>
      </c>
      <c r="E32" s="208" t="s">
        <v>1632</v>
      </c>
      <c r="F32" s="188" t="s">
        <v>1673</v>
      </c>
      <c r="K32" s="142"/>
    </row>
    <row r="33" spans="3:11" ht="78.75">
      <c r="C33" s="20">
        <v>28</v>
      </c>
      <c r="D33" s="35" t="s">
        <v>1674</v>
      </c>
      <c r="E33" s="208" t="s">
        <v>1675</v>
      </c>
      <c r="F33" s="188" t="s">
        <v>1676</v>
      </c>
      <c r="K33" s="142"/>
    </row>
    <row r="34" spans="3:11" ht="157.5">
      <c r="C34" s="20">
        <v>29</v>
      </c>
      <c r="D34" s="188" t="s">
        <v>1677</v>
      </c>
      <c r="E34" s="14" t="str">
        <f>" Für WOHNIMMOBILIEN-KREDITE markieren Sie bitte je nach Anzahl zu berücksichtigender Währungen/ Länder das entsprechene Feld. Wenn z.B. Wohnimmobilien-Kredite in zwei verschieden Ländern ausgereicht wurden, kreuzen Sie das Kontrollkästchen '" &amp; E1256 &amp; "' an. Es werden dann zwei separate Tabellenblätter erzeugt."</f>
        <v xml:space="preserve"> Für WOHNIMMOBILIEN-KREDITE markieren Sie bitte je nach Anzahl zu berücksichtigender Währungen/ Länder das entsprechene Feld. Wenn z.B. Wohnimmobilien-Kredite in zwei verschieden Ländern ausgereicht wurden, kreuzen Sie das Kontrollkästchen '3.1.2. Wohnimmobilien-Kredite in 2 Ländern /  ausgereicht in 2 Währungen' an. Es werden dann zwei separate Tabellenblätter erzeugt.</v>
      </c>
      <c r="F34" s="188" t="s">
        <v>1678</v>
      </c>
      <c r="K34" s="142"/>
    </row>
    <row r="35" spans="3:11" ht="94.5">
      <c r="C35" s="20">
        <v>30</v>
      </c>
      <c r="D35" s="188" t="s">
        <v>1679</v>
      </c>
      <c r="E35" s="14" t="s">
        <v>1680</v>
      </c>
      <c r="F35" s="188" t="s">
        <v>1681</v>
      </c>
      <c r="K35" s="142"/>
    </row>
    <row r="36" spans="3:11" ht="63">
      <c r="C36" s="20">
        <v>31</v>
      </c>
      <c r="D36" s="188" t="s">
        <v>1682</v>
      </c>
      <c r="E36" s="204" t="s">
        <v>1683</v>
      </c>
      <c r="F36" s="188" t="s">
        <v>1684</v>
      </c>
      <c r="K36" s="142"/>
    </row>
    <row r="37" spans="3:11" ht="47.25">
      <c r="C37" s="20">
        <v>32</v>
      </c>
      <c r="D37" s="206" t="s">
        <v>1685</v>
      </c>
      <c r="E37" s="188" t="s">
        <v>1686</v>
      </c>
      <c r="F37" s="206" t="s">
        <v>1687</v>
      </c>
      <c r="K37" s="142"/>
    </row>
    <row r="38" spans="3:11" ht="15.75">
      <c r="C38" s="20">
        <v>33</v>
      </c>
      <c r="D38" s="35"/>
      <c r="E38" s="14"/>
      <c r="K38" s="142"/>
    </row>
    <row r="39" spans="3:11" ht="13.5" thickBot="1">
      <c r="C39" s="20">
        <v>34</v>
      </c>
      <c r="D39" s="143"/>
      <c r="E39" s="144"/>
      <c r="F39" s="143"/>
      <c r="H39" s="144"/>
      <c r="I39" s="144"/>
      <c r="J39" s="144"/>
      <c r="K39" s="145"/>
    </row>
    <row r="40" spans="3:11" ht="15.75">
      <c r="C40" s="20">
        <v>35</v>
      </c>
      <c r="D40" s="36" t="s">
        <v>1688</v>
      </c>
      <c r="E40" s="18"/>
      <c r="F40" s="217" t="s">
        <v>1689</v>
      </c>
      <c r="K40" s="142"/>
    </row>
    <row r="41" spans="3:11">
      <c r="C41" s="20">
        <v>36</v>
      </c>
      <c r="D41" s="146"/>
      <c r="E41" s="64"/>
      <c r="K41" s="142"/>
    </row>
    <row r="42" spans="3:11">
      <c r="C42" s="20">
        <v>37</v>
      </c>
      <c r="D42" s="146"/>
      <c r="E42" s="64"/>
      <c r="K42" s="142"/>
    </row>
    <row r="43" spans="3:11">
      <c r="C43" s="20">
        <v>38</v>
      </c>
      <c r="D43" s="146"/>
      <c r="E43" s="64"/>
      <c r="K43" s="142"/>
    </row>
    <row r="44" spans="3:11">
      <c r="C44" s="20">
        <v>39</v>
      </c>
      <c r="D44" s="146"/>
      <c r="E44" s="64"/>
      <c r="K44" s="142"/>
    </row>
    <row r="45" spans="3:11">
      <c r="C45" s="20">
        <v>40</v>
      </c>
      <c r="D45" s="146"/>
      <c r="E45" s="64"/>
      <c r="K45" s="142"/>
    </row>
    <row r="46" spans="3:11">
      <c r="C46" s="20">
        <v>41</v>
      </c>
      <c r="D46" s="146"/>
      <c r="E46" s="64"/>
      <c r="K46" s="142"/>
    </row>
    <row r="47" spans="3:11">
      <c r="C47" s="20">
        <v>42</v>
      </c>
      <c r="D47" s="146"/>
      <c r="E47" s="64"/>
      <c r="K47" s="142"/>
    </row>
    <row r="48" spans="3:11">
      <c r="C48" s="20">
        <v>43</v>
      </c>
      <c r="D48" s="146"/>
      <c r="E48" s="64"/>
      <c r="K48" s="142"/>
    </row>
    <row r="49" spans="3:11">
      <c r="C49" s="20">
        <v>44</v>
      </c>
      <c r="D49" s="146"/>
      <c r="E49" s="64"/>
      <c r="K49" s="142"/>
    </row>
    <row r="50" spans="3:11">
      <c r="C50" s="20">
        <v>45</v>
      </c>
      <c r="D50" s="146"/>
      <c r="E50" s="64"/>
      <c r="K50" s="142"/>
    </row>
    <row r="51" spans="3:11">
      <c r="C51" s="20">
        <v>46</v>
      </c>
      <c r="D51" s="146"/>
      <c r="E51" s="64"/>
      <c r="K51" s="142"/>
    </row>
    <row r="52" spans="3:11">
      <c r="C52" s="20">
        <v>47</v>
      </c>
      <c r="D52" s="146"/>
      <c r="E52" s="64"/>
      <c r="K52" s="142"/>
    </row>
    <row r="53" spans="3:11">
      <c r="C53" s="20">
        <v>48</v>
      </c>
      <c r="D53" s="146"/>
      <c r="E53" s="64"/>
      <c r="K53" s="142"/>
    </row>
    <row r="54" spans="3:11">
      <c r="C54" s="20">
        <v>49</v>
      </c>
      <c r="D54" s="146"/>
      <c r="E54" s="64"/>
      <c r="K54" s="142"/>
    </row>
    <row r="55" spans="3:11">
      <c r="C55" s="20">
        <v>50</v>
      </c>
      <c r="D55" s="146"/>
      <c r="E55" s="64"/>
      <c r="K55" s="142"/>
    </row>
    <row r="56" spans="3:11">
      <c r="C56" s="20">
        <v>51</v>
      </c>
      <c r="D56" s="146"/>
      <c r="E56" s="64"/>
      <c r="K56" s="142"/>
    </row>
    <row r="57" spans="3:11">
      <c r="C57" s="20">
        <v>52</v>
      </c>
      <c r="D57" s="146"/>
      <c r="E57" s="64"/>
      <c r="K57" s="142"/>
    </row>
    <row r="58" spans="3:11">
      <c r="C58" s="20">
        <v>53</v>
      </c>
      <c r="D58" s="146"/>
      <c r="E58" s="64"/>
      <c r="K58" s="142"/>
    </row>
    <row r="59" spans="3:11">
      <c r="C59" s="20">
        <v>54</v>
      </c>
      <c r="D59" s="146"/>
      <c r="E59" s="64"/>
      <c r="K59" s="142"/>
    </row>
    <row r="60" spans="3:11">
      <c r="C60" s="20">
        <v>55</v>
      </c>
      <c r="D60" s="146"/>
      <c r="E60" s="64"/>
      <c r="K60" s="142"/>
    </row>
    <row r="61" spans="3:11">
      <c r="C61" s="20">
        <v>56</v>
      </c>
      <c r="D61" s="146"/>
      <c r="E61" s="64"/>
      <c r="K61" s="142"/>
    </row>
    <row r="62" spans="3:11">
      <c r="C62" s="20">
        <v>57</v>
      </c>
      <c r="D62" s="146"/>
      <c r="E62" s="64"/>
      <c r="K62" s="142"/>
    </row>
    <row r="63" spans="3:11">
      <c r="C63" s="20">
        <v>58</v>
      </c>
      <c r="D63" s="146"/>
      <c r="E63" s="64"/>
      <c r="K63" s="142"/>
    </row>
    <row r="64" spans="3:11">
      <c r="C64" s="20">
        <v>59</v>
      </c>
      <c r="D64" s="146"/>
      <c r="E64" s="64"/>
      <c r="K64" s="142"/>
    </row>
    <row r="65" spans="3:11">
      <c r="C65" s="20">
        <v>60</v>
      </c>
      <c r="D65" s="146"/>
      <c r="E65" s="64"/>
      <c r="K65" s="142"/>
    </row>
    <row r="66" spans="3:11">
      <c r="C66" s="20">
        <v>61</v>
      </c>
      <c r="D66" s="146"/>
      <c r="E66" s="64"/>
      <c r="K66" s="142"/>
    </row>
    <row r="67" spans="3:11">
      <c r="C67" s="20">
        <v>62</v>
      </c>
      <c r="D67" s="146"/>
      <c r="E67" s="64"/>
      <c r="K67" s="142"/>
    </row>
    <row r="68" spans="3:11">
      <c r="C68" s="20">
        <v>63</v>
      </c>
      <c r="D68" s="146"/>
      <c r="E68" s="64"/>
      <c r="K68" s="142"/>
    </row>
    <row r="69" spans="3:11">
      <c r="C69" s="20">
        <v>64</v>
      </c>
      <c r="D69" s="146"/>
      <c r="E69" s="64"/>
      <c r="K69" s="142"/>
    </row>
    <row r="70" spans="3:11">
      <c r="C70" s="20">
        <v>65</v>
      </c>
      <c r="D70" s="146"/>
      <c r="E70" s="64"/>
      <c r="K70" s="142"/>
    </row>
    <row r="71" spans="3:11">
      <c r="C71" s="20">
        <v>66</v>
      </c>
      <c r="D71" s="146"/>
      <c r="E71" s="64"/>
      <c r="K71" s="142"/>
    </row>
    <row r="72" spans="3:11">
      <c r="C72" s="20">
        <v>67</v>
      </c>
      <c r="D72" s="146"/>
      <c r="E72" s="64"/>
      <c r="K72" s="142"/>
    </row>
    <row r="73" spans="3:11">
      <c r="C73" s="20">
        <v>68</v>
      </c>
      <c r="D73" s="146"/>
      <c r="E73" s="64"/>
      <c r="K73" s="142"/>
    </row>
    <row r="74" spans="3:11">
      <c r="C74" s="20">
        <v>69</v>
      </c>
      <c r="D74" s="146"/>
      <c r="E74" s="64"/>
      <c r="K74" s="142"/>
    </row>
    <row r="75" spans="3:11">
      <c r="C75" s="20">
        <v>70</v>
      </c>
      <c r="D75" s="146"/>
      <c r="E75" s="64"/>
      <c r="K75" s="142"/>
    </row>
    <row r="76" spans="3:11">
      <c r="C76" s="20">
        <v>71</v>
      </c>
      <c r="D76" s="146"/>
      <c r="E76" s="64"/>
      <c r="K76" s="142"/>
    </row>
    <row r="77" spans="3:11">
      <c r="C77" s="20">
        <v>72</v>
      </c>
      <c r="D77" s="146"/>
      <c r="E77" s="64"/>
      <c r="K77" s="142"/>
    </row>
    <row r="78" spans="3:11">
      <c r="C78" s="20">
        <v>73</v>
      </c>
      <c r="D78" s="146"/>
      <c r="E78" s="64"/>
      <c r="K78" s="142"/>
    </row>
    <row r="79" spans="3:11">
      <c r="C79" s="20">
        <v>74</v>
      </c>
      <c r="D79" s="146"/>
      <c r="E79" s="64"/>
      <c r="K79" s="142"/>
    </row>
    <row r="80" spans="3:11">
      <c r="C80" s="20">
        <v>75</v>
      </c>
      <c r="D80" s="146"/>
      <c r="E80" s="64"/>
      <c r="K80" s="142"/>
    </row>
    <row r="81" spans="3:11">
      <c r="C81" s="20">
        <v>76</v>
      </c>
      <c r="D81" s="146"/>
      <c r="E81" s="64"/>
      <c r="K81" s="142"/>
    </row>
    <row r="82" spans="3:11">
      <c r="C82" s="20">
        <v>77</v>
      </c>
      <c r="D82" s="146"/>
      <c r="E82" s="64"/>
      <c r="K82" s="142"/>
    </row>
    <row r="83" spans="3:11">
      <c r="C83" s="20">
        <v>78</v>
      </c>
      <c r="D83" s="146"/>
      <c r="E83" s="64"/>
      <c r="K83" s="142"/>
    </row>
    <row r="84" spans="3:11">
      <c r="C84" s="20">
        <v>79</v>
      </c>
      <c r="D84" s="146"/>
      <c r="E84" s="64"/>
      <c r="K84" s="142"/>
    </row>
    <row r="85" spans="3:11">
      <c r="C85" s="20">
        <v>80</v>
      </c>
      <c r="D85" s="146"/>
      <c r="E85" s="64"/>
      <c r="K85" s="142"/>
    </row>
    <row r="86" spans="3:11">
      <c r="C86" s="20">
        <v>81</v>
      </c>
      <c r="D86" s="146"/>
      <c r="E86" s="64"/>
      <c r="K86" s="142"/>
    </row>
    <row r="87" spans="3:11">
      <c r="C87" s="20">
        <v>82</v>
      </c>
      <c r="D87" s="146"/>
      <c r="E87" s="64"/>
      <c r="K87" s="142"/>
    </row>
    <row r="88" spans="3:11">
      <c r="C88" s="20">
        <v>83</v>
      </c>
      <c r="D88" s="146"/>
      <c r="E88" s="64"/>
      <c r="K88" s="142"/>
    </row>
    <row r="89" spans="3:11">
      <c r="C89" s="20">
        <v>84</v>
      </c>
      <c r="D89" s="146"/>
      <c r="E89" s="64"/>
      <c r="K89" s="142"/>
    </row>
    <row r="90" spans="3:11">
      <c r="C90" s="20">
        <v>85</v>
      </c>
      <c r="D90" s="146"/>
      <c r="E90" s="64"/>
      <c r="K90" s="142"/>
    </row>
    <row r="91" spans="3:11">
      <c r="C91" s="20">
        <v>86</v>
      </c>
      <c r="D91" s="146"/>
      <c r="E91" s="64"/>
      <c r="K91" s="142"/>
    </row>
    <row r="92" spans="3:11">
      <c r="C92" s="20">
        <v>87</v>
      </c>
      <c r="D92" s="146"/>
      <c r="E92" s="64"/>
      <c r="K92" s="142"/>
    </row>
    <row r="93" spans="3:11">
      <c r="C93" s="20">
        <v>88</v>
      </c>
      <c r="D93" s="146"/>
      <c r="E93" s="64"/>
      <c r="K93" s="142"/>
    </row>
    <row r="94" spans="3:11">
      <c r="C94" s="20">
        <v>89</v>
      </c>
      <c r="D94" s="146"/>
      <c r="E94" s="64"/>
      <c r="K94" s="142"/>
    </row>
    <row r="95" spans="3:11">
      <c r="C95" s="20">
        <v>90</v>
      </c>
      <c r="D95" s="146"/>
      <c r="E95" s="64"/>
      <c r="K95" s="142"/>
    </row>
    <row r="96" spans="3:11">
      <c r="C96" s="20">
        <v>91</v>
      </c>
      <c r="D96" s="146"/>
      <c r="E96" s="64"/>
      <c r="K96" s="142"/>
    </row>
    <row r="97" spans="3:11">
      <c r="C97" s="20">
        <v>92</v>
      </c>
      <c r="D97" s="146"/>
      <c r="E97" s="64"/>
      <c r="K97" s="142"/>
    </row>
    <row r="98" spans="3:11">
      <c r="C98" s="20">
        <v>93</v>
      </c>
      <c r="D98" s="146"/>
      <c r="E98" s="64"/>
      <c r="K98" s="142"/>
    </row>
    <row r="99" spans="3:11">
      <c r="C99" s="20">
        <v>94</v>
      </c>
      <c r="D99" s="146"/>
      <c r="E99" s="64"/>
      <c r="K99" s="142"/>
    </row>
    <row r="100" spans="3:11">
      <c r="C100" s="20">
        <v>95</v>
      </c>
      <c r="D100" s="146"/>
      <c r="E100" s="64"/>
      <c r="K100" s="142"/>
    </row>
    <row r="101" spans="3:11">
      <c r="C101" s="20">
        <v>96</v>
      </c>
      <c r="D101" s="146"/>
      <c r="E101" s="64"/>
      <c r="K101" s="142"/>
    </row>
    <row r="102" spans="3:11">
      <c r="C102" s="20">
        <v>97</v>
      </c>
      <c r="D102" s="146"/>
      <c r="E102" s="64"/>
      <c r="K102" s="142"/>
    </row>
    <row r="103" spans="3:11">
      <c r="C103" s="20">
        <v>98</v>
      </c>
      <c r="D103" s="146"/>
      <c r="E103" s="64"/>
      <c r="K103" s="142"/>
    </row>
    <row r="104" spans="3:11">
      <c r="C104" s="20">
        <v>99</v>
      </c>
      <c r="D104" s="146"/>
      <c r="E104" s="64"/>
      <c r="K104" s="142"/>
    </row>
    <row r="105" spans="3:11">
      <c r="C105" s="20">
        <v>100</v>
      </c>
      <c r="D105" s="146"/>
      <c r="E105" s="64"/>
      <c r="K105" s="142"/>
    </row>
    <row r="106" spans="3:11">
      <c r="C106" s="20">
        <v>101</v>
      </c>
      <c r="D106" s="146"/>
      <c r="E106" s="64"/>
      <c r="K106" s="142"/>
    </row>
    <row r="107" spans="3:11">
      <c r="C107" s="20">
        <v>102</v>
      </c>
      <c r="D107" s="146"/>
      <c r="E107" s="64"/>
      <c r="K107" s="142"/>
    </row>
    <row r="108" spans="3:11">
      <c r="C108" s="20">
        <v>103</v>
      </c>
      <c r="D108" s="146"/>
      <c r="E108" s="64"/>
      <c r="K108" s="142"/>
    </row>
    <row r="109" spans="3:11">
      <c r="C109" s="20">
        <v>104</v>
      </c>
      <c r="D109" s="146"/>
      <c r="E109" s="64"/>
      <c r="K109" s="142"/>
    </row>
    <row r="110" spans="3:11">
      <c r="C110" s="20">
        <v>105</v>
      </c>
      <c r="D110" s="146"/>
      <c r="E110" s="64"/>
      <c r="K110" s="142"/>
    </row>
    <row r="111" spans="3:11">
      <c r="C111" s="20">
        <v>106</v>
      </c>
      <c r="D111" s="146"/>
      <c r="E111" s="64"/>
      <c r="K111" s="142"/>
    </row>
    <row r="112" spans="3:11">
      <c r="C112" s="20">
        <v>107</v>
      </c>
      <c r="D112" s="146"/>
      <c r="E112" s="64"/>
      <c r="K112" s="142"/>
    </row>
    <row r="113" spans="3:11">
      <c r="C113" s="20">
        <v>108</v>
      </c>
      <c r="D113" s="146"/>
      <c r="E113" s="64"/>
      <c r="K113" s="142"/>
    </row>
    <row r="114" spans="3:11">
      <c r="C114" s="20">
        <v>109</v>
      </c>
      <c r="D114" s="146"/>
      <c r="E114" s="64"/>
      <c r="K114" s="142"/>
    </row>
    <row r="115" spans="3:11">
      <c r="C115" s="20">
        <v>110</v>
      </c>
      <c r="D115" s="146"/>
      <c r="E115" s="64"/>
      <c r="K115" s="142"/>
    </row>
    <row r="116" spans="3:11">
      <c r="C116" s="20">
        <v>111</v>
      </c>
      <c r="D116" s="146"/>
      <c r="E116" s="64"/>
      <c r="K116" s="142"/>
    </row>
    <row r="117" spans="3:11">
      <c r="C117" s="20">
        <v>112</v>
      </c>
      <c r="D117" s="146"/>
      <c r="E117" s="64"/>
      <c r="K117" s="142"/>
    </row>
    <row r="118" spans="3:11">
      <c r="C118" s="20">
        <v>113</v>
      </c>
      <c r="D118" s="146"/>
      <c r="E118" s="64"/>
      <c r="K118" s="142"/>
    </row>
    <row r="119" spans="3:11">
      <c r="C119" s="20">
        <v>114</v>
      </c>
      <c r="D119" s="146"/>
      <c r="E119" s="64"/>
      <c r="K119" s="142"/>
    </row>
    <row r="120" spans="3:11">
      <c r="C120" s="20">
        <v>115</v>
      </c>
      <c r="D120" s="146"/>
      <c r="E120" s="64"/>
      <c r="K120" s="142"/>
    </row>
    <row r="121" spans="3:11">
      <c r="C121" s="20">
        <v>116</v>
      </c>
      <c r="D121" s="146"/>
      <c r="E121" s="64"/>
      <c r="K121" s="142"/>
    </row>
    <row r="122" spans="3:11">
      <c r="C122" s="20">
        <v>117</v>
      </c>
      <c r="D122" s="146"/>
      <c r="E122" s="64"/>
      <c r="K122" s="142"/>
    </row>
    <row r="123" spans="3:11">
      <c r="C123" s="20">
        <v>118</v>
      </c>
      <c r="D123" s="146"/>
      <c r="E123" s="64"/>
      <c r="K123" s="142"/>
    </row>
    <row r="124" spans="3:11">
      <c r="C124" s="20">
        <v>119</v>
      </c>
      <c r="D124" s="146"/>
      <c r="E124" s="64"/>
      <c r="K124" s="142"/>
    </row>
    <row r="125" spans="3:11">
      <c r="C125" s="20">
        <v>120</v>
      </c>
      <c r="D125" s="146"/>
      <c r="E125" s="64"/>
      <c r="K125" s="142"/>
    </row>
    <row r="126" spans="3:11">
      <c r="C126" s="20">
        <v>121</v>
      </c>
      <c r="D126" s="146"/>
      <c r="E126" s="64"/>
      <c r="K126" s="142"/>
    </row>
    <row r="127" spans="3:11">
      <c r="C127" s="20">
        <v>122</v>
      </c>
      <c r="D127" s="146"/>
      <c r="E127" s="64"/>
      <c r="K127" s="142"/>
    </row>
    <row r="128" spans="3:11">
      <c r="C128" s="20">
        <v>123</v>
      </c>
      <c r="D128" s="146"/>
      <c r="E128" s="64"/>
      <c r="K128" s="142"/>
    </row>
    <row r="129" spans="3:11">
      <c r="C129" s="20">
        <v>124</v>
      </c>
      <c r="D129" s="146"/>
      <c r="E129" s="64"/>
      <c r="K129" s="142"/>
    </row>
    <row r="130" spans="3:11">
      <c r="C130" s="20">
        <v>125</v>
      </c>
      <c r="D130" s="146"/>
      <c r="E130" s="64"/>
      <c r="K130" s="142"/>
    </row>
    <row r="131" spans="3:11">
      <c r="C131" s="20">
        <v>126</v>
      </c>
      <c r="D131" s="146"/>
      <c r="E131" s="64"/>
      <c r="K131" s="142"/>
    </row>
    <row r="132" spans="3:11">
      <c r="C132" s="20">
        <v>127</v>
      </c>
      <c r="D132" s="146"/>
      <c r="E132" s="64"/>
      <c r="K132" s="142"/>
    </row>
    <row r="133" spans="3:11">
      <c r="C133" s="20">
        <v>128</v>
      </c>
      <c r="D133" s="146"/>
      <c r="E133" s="64"/>
      <c r="K133" s="142"/>
    </row>
    <row r="134" spans="3:11">
      <c r="C134" s="20">
        <v>129</v>
      </c>
      <c r="D134" s="146"/>
      <c r="E134" s="64"/>
      <c r="K134" s="142"/>
    </row>
    <row r="135" spans="3:11">
      <c r="C135" s="20">
        <v>130</v>
      </c>
      <c r="D135" s="146"/>
      <c r="E135" s="64"/>
      <c r="K135" s="142"/>
    </row>
    <row r="136" spans="3:11">
      <c r="C136" s="20">
        <v>131</v>
      </c>
      <c r="D136" s="146"/>
      <c r="E136" s="64"/>
      <c r="K136" s="142"/>
    </row>
    <row r="137" spans="3:11">
      <c r="C137" s="20">
        <v>132</v>
      </c>
      <c r="D137" s="146"/>
      <c r="E137" s="64"/>
      <c r="K137" s="142"/>
    </row>
    <row r="138" spans="3:11">
      <c r="C138" s="20">
        <v>133</v>
      </c>
      <c r="D138" s="146"/>
      <c r="E138" s="64"/>
      <c r="K138" s="142"/>
    </row>
    <row r="139" spans="3:11">
      <c r="C139" s="20">
        <v>134</v>
      </c>
      <c r="D139" s="146"/>
      <c r="E139" s="64"/>
      <c r="K139" s="142"/>
    </row>
    <row r="140" spans="3:11">
      <c r="C140" s="20">
        <v>135</v>
      </c>
      <c r="D140" s="146"/>
      <c r="E140" s="64"/>
      <c r="K140" s="142"/>
    </row>
    <row r="141" spans="3:11">
      <c r="C141" s="20">
        <v>136</v>
      </c>
      <c r="D141" s="146"/>
      <c r="E141" s="64"/>
      <c r="K141" s="142"/>
    </row>
    <row r="142" spans="3:11">
      <c r="C142" s="20">
        <v>137</v>
      </c>
      <c r="D142" s="146"/>
      <c r="E142" s="64"/>
      <c r="K142" s="142"/>
    </row>
    <row r="143" spans="3:11">
      <c r="C143" s="20">
        <v>138</v>
      </c>
      <c r="D143" s="146"/>
      <c r="E143" s="64"/>
      <c r="K143" s="142"/>
    </row>
    <row r="144" spans="3:11">
      <c r="C144" s="20">
        <v>139</v>
      </c>
      <c r="D144" s="146"/>
      <c r="E144" s="64"/>
      <c r="K144" s="142"/>
    </row>
    <row r="145" spans="3:11">
      <c r="C145" s="20">
        <v>140</v>
      </c>
      <c r="D145" s="146"/>
      <c r="E145" s="64"/>
      <c r="K145" s="142"/>
    </row>
    <row r="146" spans="3:11">
      <c r="C146" s="20">
        <v>141</v>
      </c>
      <c r="D146" s="146"/>
      <c r="E146" s="64"/>
      <c r="K146" s="142"/>
    </row>
    <row r="147" spans="3:11">
      <c r="C147" s="20">
        <v>142</v>
      </c>
      <c r="D147" s="146"/>
      <c r="E147" s="64"/>
      <c r="K147" s="142"/>
    </row>
    <row r="148" spans="3:11">
      <c r="C148" s="20">
        <v>143</v>
      </c>
      <c r="D148" s="146"/>
      <c r="E148" s="64"/>
      <c r="K148" s="142"/>
    </row>
    <row r="149" spans="3:11">
      <c r="C149" s="20">
        <v>144</v>
      </c>
      <c r="D149" s="146"/>
      <c r="E149" s="64"/>
      <c r="K149" s="142"/>
    </row>
    <row r="150" spans="3:11">
      <c r="C150" s="20">
        <v>145</v>
      </c>
      <c r="D150" s="146"/>
      <c r="E150" s="64"/>
      <c r="K150" s="142"/>
    </row>
    <row r="151" spans="3:11">
      <c r="C151" s="20">
        <v>146</v>
      </c>
      <c r="D151" s="146"/>
      <c r="E151" s="64"/>
      <c r="K151" s="142"/>
    </row>
    <row r="152" spans="3:11">
      <c r="C152" s="20">
        <v>147</v>
      </c>
      <c r="D152" s="146"/>
      <c r="E152" s="64"/>
      <c r="K152" s="142"/>
    </row>
    <row r="153" spans="3:11">
      <c r="C153" s="20">
        <v>148</v>
      </c>
      <c r="D153" s="146"/>
      <c r="E153" s="64"/>
      <c r="K153" s="142"/>
    </row>
    <row r="154" spans="3:11">
      <c r="C154" s="20">
        <v>149</v>
      </c>
      <c r="D154" s="146"/>
      <c r="E154" s="64"/>
      <c r="K154" s="142"/>
    </row>
    <row r="155" spans="3:11">
      <c r="C155" s="20">
        <v>150</v>
      </c>
      <c r="D155" s="146"/>
      <c r="E155" s="64"/>
      <c r="K155" s="142"/>
    </row>
    <row r="156" spans="3:11">
      <c r="C156" s="20">
        <v>151</v>
      </c>
      <c r="D156" s="146"/>
      <c r="E156" s="64"/>
      <c r="K156" s="142"/>
    </row>
    <row r="157" spans="3:11">
      <c r="C157" s="20">
        <v>152</v>
      </c>
      <c r="D157" s="146"/>
      <c r="E157" s="64"/>
      <c r="K157" s="142"/>
    </row>
    <row r="158" spans="3:11">
      <c r="C158" s="20">
        <v>153</v>
      </c>
      <c r="D158" s="146"/>
      <c r="E158" s="64"/>
      <c r="K158" s="142"/>
    </row>
    <row r="159" spans="3:11">
      <c r="C159" s="20">
        <v>154</v>
      </c>
      <c r="D159" s="146"/>
      <c r="E159" s="64"/>
      <c r="K159" s="142"/>
    </row>
    <row r="160" spans="3:11">
      <c r="C160" s="20">
        <v>155</v>
      </c>
      <c r="D160" s="146"/>
      <c r="E160" s="64"/>
      <c r="K160" s="142"/>
    </row>
    <row r="161" spans="3:11">
      <c r="C161" s="20">
        <v>156</v>
      </c>
      <c r="D161" s="146"/>
      <c r="E161" s="64"/>
      <c r="K161" s="142"/>
    </row>
    <row r="162" spans="3:11">
      <c r="C162" s="20">
        <v>157</v>
      </c>
      <c r="D162" s="146"/>
      <c r="E162" s="64"/>
      <c r="K162" s="142"/>
    </row>
    <row r="163" spans="3:11">
      <c r="C163" s="20">
        <v>158</v>
      </c>
      <c r="D163" s="146"/>
      <c r="E163" s="64"/>
      <c r="K163" s="142"/>
    </row>
    <row r="164" spans="3:11">
      <c r="C164" s="20">
        <v>159</v>
      </c>
      <c r="D164" s="146"/>
      <c r="E164" s="64"/>
      <c r="K164" s="142"/>
    </row>
    <row r="165" spans="3:11">
      <c r="C165" s="20">
        <v>160</v>
      </c>
      <c r="D165" s="146"/>
      <c r="E165" s="64"/>
      <c r="K165" s="142"/>
    </row>
    <row r="166" spans="3:11">
      <c r="C166" s="20">
        <v>161</v>
      </c>
      <c r="D166" s="146"/>
      <c r="E166" s="64"/>
      <c r="K166" s="142"/>
    </row>
    <row r="167" spans="3:11">
      <c r="C167" s="20">
        <v>162</v>
      </c>
      <c r="D167" s="146"/>
      <c r="E167" s="64"/>
      <c r="K167" s="142"/>
    </row>
    <row r="168" spans="3:11">
      <c r="C168" s="20">
        <v>163</v>
      </c>
      <c r="D168" s="146"/>
      <c r="E168" s="64"/>
      <c r="K168" s="142"/>
    </row>
    <row r="169" spans="3:11">
      <c r="C169" s="20">
        <v>164</v>
      </c>
      <c r="D169" s="109" t="s">
        <v>1690</v>
      </c>
      <c r="E169" s="110" t="s">
        <v>1691</v>
      </c>
      <c r="F169" s="109" t="s">
        <v>1692</v>
      </c>
      <c r="K169" s="142"/>
    </row>
    <row r="170" spans="3:11">
      <c r="C170" s="20">
        <v>165</v>
      </c>
      <c r="D170" s="109" t="s">
        <v>1693</v>
      </c>
      <c r="E170" s="110" t="s">
        <v>1694</v>
      </c>
      <c r="F170" s="109" t="s">
        <v>1695</v>
      </c>
      <c r="K170" s="142"/>
    </row>
    <row r="171" spans="3:11" ht="12.75" customHeight="1">
      <c r="C171" s="20">
        <v>166</v>
      </c>
      <c r="D171" s="109" t="s">
        <v>1696</v>
      </c>
      <c r="E171" s="110" t="s">
        <v>1697</v>
      </c>
      <c r="F171" s="109" t="s">
        <v>1698</v>
      </c>
      <c r="K171" s="142"/>
    </row>
    <row r="172" spans="3:11" ht="12.75" customHeight="1" thickBot="1">
      <c r="C172" s="20">
        <v>167</v>
      </c>
      <c r="D172" s="109" t="s">
        <v>1699</v>
      </c>
      <c r="E172" s="110" t="s">
        <v>1700</v>
      </c>
      <c r="F172" s="109" t="s">
        <v>1701</v>
      </c>
      <c r="H172" s="144"/>
      <c r="I172" s="144"/>
      <c r="J172" s="144"/>
      <c r="K172" s="145"/>
    </row>
    <row r="173" spans="3:11" ht="22.5" customHeight="1">
      <c r="C173" s="20">
        <v>168</v>
      </c>
      <c r="D173" s="70" t="s">
        <v>1702</v>
      </c>
      <c r="E173" s="71" t="s">
        <v>1703</v>
      </c>
      <c r="F173" s="70" t="s">
        <v>1704</v>
      </c>
      <c r="K173" s="142"/>
    </row>
    <row r="174" spans="3:11" ht="19.5" customHeight="1">
      <c r="C174" s="20">
        <v>169</v>
      </c>
      <c r="D174" s="72"/>
      <c r="E174" s="73"/>
      <c r="F174" s="72"/>
      <c r="K174" s="142"/>
    </row>
    <row r="175" spans="3:11" ht="12.75" customHeight="1">
      <c r="C175" s="20">
        <v>170</v>
      </c>
      <c r="D175" s="74" t="s">
        <v>1705</v>
      </c>
      <c r="E175" s="75" t="s">
        <v>1706</v>
      </c>
      <c r="F175" s="83" t="s">
        <v>1707</v>
      </c>
      <c r="K175" s="142"/>
    </row>
    <row r="176" spans="3:11" ht="12.75" customHeight="1">
      <c r="C176" s="20">
        <v>171</v>
      </c>
      <c r="D176" s="76"/>
      <c r="E176" s="12"/>
      <c r="F176" s="105"/>
      <c r="K176" s="142"/>
    </row>
    <row r="177" spans="3:11" ht="12.75" customHeight="1">
      <c r="C177" s="20">
        <v>172</v>
      </c>
      <c r="D177" s="77" t="s">
        <v>1708</v>
      </c>
      <c r="E177" s="78" t="s">
        <v>1709</v>
      </c>
      <c r="F177" s="86" t="s">
        <v>1710</v>
      </c>
      <c r="K177" s="142"/>
    </row>
    <row r="178" spans="3:11" ht="12.75" customHeight="1">
      <c r="C178" s="20">
        <v>173</v>
      </c>
      <c r="D178" s="79" t="s">
        <v>1711</v>
      </c>
      <c r="E178" s="80" t="s">
        <v>1712</v>
      </c>
      <c r="F178" s="133" t="s">
        <v>1713</v>
      </c>
      <c r="K178" s="142"/>
    </row>
    <row r="179" spans="3:11" ht="12.75" customHeight="1">
      <c r="C179" s="20">
        <v>174</v>
      </c>
      <c r="D179" s="79" t="s">
        <v>1714</v>
      </c>
      <c r="E179" s="80" t="s">
        <v>1715</v>
      </c>
      <c r="F179" s="133" t="s">
        <v>1716</v>
      </c>
      <c r="K179" s="142"/>
    </row>
    <row r="180" spans="3:11" ht="12.75" customHeight="1">
      <c r="C180" s="20">
        <v>175</v>
      </c>
      <c r="D180" s="79" t="s">
        <v>1717</v>
      </c>
      <c r="E180" s="80" t="s">
        <v>1718</v>
      </c>
      <c r="F180" s="133" t="s">
        <v>1719</v>
      </c>
      <c r="K180" s="142"/>
    </row>
    <row r="181" spans="3:11" ht="12.75" customHeight="1">
      <c r="C181" s="20">
        <v>176</v>
      </c>
      <c r="D181" s="81" t="s">
        <v>1720</v>
      </c>
      <c r="E181" s="82" t="s">
        <v>1721</v>
      </c>
      <c r="F181" s="218" t="s">
        <v>1722</v>
      </c>
      <c r="K181" s="142"/>
    </row>
    <row r="182" spans="3:11" ht="12.75" customHeight="1">
      <c r="C182" s="20">
        <v>177</v>
      </c>
      <c r="D182" s="76"/>
      <c r="E182" s="59"/>
      <c r="F182" s="105"/>
      <c r="K182" s="142"/>
    </row>
    <row r="183" spans="3:11" ht="12.75" customHeight="1">
      <c r="C183" s="20">
        <v>178</v>
      </c>
      <c r="D183" s="147"/>
      <c r="E183" s="59"/>
      <c r="F183" s="219"/>
      <c r="K183" s="142"/>
    </row>
    <row r="184" spans="3:11" ht="52.5" customHeight="1">
      <c r="C184" s="20">
        <v>179</v>
      </c>
      <c r="D184" s="83" t="s">
        <v>1723</v>
      </c>
      <c r="E184" s="84" t="s">
        <v>1724</v>
      </c>
      <c r="F184" s="83" t="s">
        <v>1725</v>
      </c>
      <c r="K184" s="142"/>
    </row>
    <row r="185" spans="3:11" ht="12.75" customHeight="1">
      <c r="C185" s="20">
        <v>180</v>
      </c>
      <c r="D185" s="76"/>
      <c r="E185" s="59"/>
      <c r="F185" s="105"/>
      <c r="K185" s="142"/>
    </row>
    <row r="186" spans="3:11" ht="12.75" customHeight="1">
      <c r="C186" s="20">
        <v>181</v>
      </c>
      <c r="D186" s="85" t="s">
        <v>1726</v>
      </c>
      <c r="E186" s="58" t="s">
        <v>1727</v>
      </c>
      <c r="F186" s="220" t="s">
        <v>1728</v>
      </c>
      <c r="K186" s="142"/>
    </row>
    <row r="187" spans="3:11" ht="12.75" customHeight="1">
      <c r="C187" s="20">
        <v>182</v>
      </c>
      <c r="D187" s="146"/>
      <c r="E187" s="59"/>
      <c r="F187" s="146"/>
      <c r="K187" s="142"/>
    </row>
    <row r="188" spans="3:11" ht="12.75" customHeight="1">
      <c r="C188" s="20">
        <v>183</v>
      </c>
      <c r="D188" s="86" t="s">
        <v>1729</v>
      </c>
      <c r="E188" s="87" t="s">
        <v>1729</v>
      </c>
      <c r="F188" s="86" t="s">
        <v>1729</v>
      </c>
      <c r="K188" s="142"/>
    </row>
    <row r="189" spans="3:11" ht="12.75" customHeight="1">
      <c r="C189" s="20">
        <v>184</v>
      </c>
      <c r="D189" s="255" t="s">
        <v>1730</v>
      </c>
      <c r="E189" s="256" t="s">
        <v>1730</v>
      </c>
      <c r="F189" s="255" t="s">
        <v>1730</v>
      </c>
      <c r="K189" s="142"/>
    </row>
    <row r="190" spans="3:11" ht="12.75" customHeight="1">
      <c r="C190" s="20">
        <v>185</v>
      </c>
      <c r="D190" s="88" t="s">
        <v>1731</v>
      </c>
      <c r="E190" s="89" t="s">
        <v>1732</v>
      </c>
      <c r="F190" s="88" t="s">
        <v>1733</v>
      </c>
      <c r="K190" s="142"/>
    </row>
    <row r="191" spans="3:11" ht="12.75" customHeight="1">
      <c r="C191" s="20">
        <v>186</v>
      </c>
      <c r="D191" s="88" t="s">
        <v>1734</v>
      </c>
      <c r="E191" s="89" t="s">
        <v>1735</v>
      </c>
      <c r="F191" s="88" t="s">
        <v>1736</v>
      </c>
      <c r="K191" s="142"/>
    </row>
    <row r="192" spans="3:11" ht="12.75" customHeight="1">
      <c r="C192" s="20">
        <v>187</v>
      </c>
      <c r="D192" s="88" t="s">
        <v>1737</v>
      </c>
      <c r="E192" s="89" t="s">
        <v>1738</v>
      </c>
      <c r="F192" s="88" t="s">
        <v>1739</v>
      </c>
      <c r="K192" s="142"/>
    </row>
    <row r="193" spans="3:11" ht="12.75" customHeight="1">
      <c r="C193" s="20">
        <v>188</v>
      </c>
      <c r="D193" s="88" t="s">
        <v>1740</v>
      </c>
      <c r="E193" s="89" t="s">
        <v>1741</v>
      </c>
      <c r="F193" s="88" t="s">
        <v>1742</v>
      </c>
      <c r="K193" s="142"/>
    </row>
    <row r="194" spans="3:11" ht="12.75" customHeight="1">
      <c r="C194" s="20">
        <v>189</v>
      </c>
      <c r="D194" s="88" t="s">
        <v>1743</v>
      </c>
      <c r="E194" s="89" t="s">
        <v>1744</v>
      </c>
      <c r="F194" s="88" t="s">
        <v>1745</v>
      </c>
      <c r="K194" s="142"/>
    </row>
    <row r="195" spans="3:11" ht="12.75" customHeight="1">
      <c r="C195" s="20">
        <v>190</v>
      </c>
      <c r="D195" s="88" t="s">
        <v>1746</v>
      </c>
      <c r="E195" s="89" t="s">
        <v>1747</v>
      </c>
      <c r="F195" s="88" t="s">
        <v>1748</v>
      </c>
      <c r="K195" s="142"/>
    </row>
    <row r="196" spans="3:11" ht="12.75" customHeight="1">
      <c r="C196" s="20">
        <v>191</v>
      </c>
      <c r="D196" s="90" t="s">
        <v>1749</v>
      </c>
      <c r="E196" s="91" t="s">
        <v>1750</v>
      </c>
      <c r="F196" s="90" t="s">
        <v>1751</v>
      </c>
      <c r="K196" s="142"/>
    </row>
    <row r="197" spans="3:11" ht="12.75" customHeight="1">
      <c r="C197" s="20">
        <v>192</v>
      </c>
      <c r="D197" s="88" t="s">
        <v>1752</v>
      </c>
      <c r="E197" s="89" t="s">
        <v>1753</v>
      </c>
      <c r="F197" s="88" t="s">
        <v>1754</v>
      </c>
      <c r="K197" s="142"/>
    </row>
    <row r="198" spans="3:11" ht="12.75" customHeight="1">
      <c r="C198" s="20">
        <v>193</v>
      </c>
      <c r="D198" s="90" t="s">
        <v>1755</v>
      </c>
      <c r="E198" s="91" t="s">
        <v>1756</v>
      </c>
      <c r="F198" s="90" t="s">
        <v>1751</v>
      </c>
      <c r="K198" s="142"/>
    </row>
    <row r="199" spans="3:11" ht="12.75" customHeight="1">
      <c r="C199" s="20">
        <v>194</v>
      </c>
      <c r="D199" s="88" t="s">
        <v>1757</v>
      </c>
      <c r="E199" s="89" t="s">
        <v>1758</v>
      </c>
      <c r="F199" s="88" t="s">
        <v>1759</v>
      </c>
      <c r="K199" s="142"/>
    </row>
    <row r="200" spans="3:11" ht="12.75" customHeight="1">
      <c r="C200" s="20">
        <v>195</v>
      </c>
      <c r="D200" s="88" t="s">
        <v>1760</v>
      </c>
      <c r="E200" s="89" t="s">
        <v>1761</v>
      </c>
      <c r="F200" s="88" t="s">
        <v>1762</v>
      </c>
      <c r="K200" s="142"/>
    </row>
    <row r="201" spans="3:11" ht="12.75" customHeight="1">
      <c r="C201" s="20">
        <v>196</v>
      </c>
      <c r="D201" s="88" t="s">
        <v>1763</v>
      </c>
      <c r="E201" s="89" t="s">
        <v>1764</v>
      </c>
      <c r="F201" s="88" t="s">
        <v>1765</v>
      </c>
      <c r="K201" s="142"/>
    </row>
    <row r="202" spans="3:11" ht="12.75" customHeight="1">
      <c r="C202" s="20">
        <v>197</v>
      </c>
      <c r="D202" s="146"/>
      <c r="E202" s="64"/>
      <c r="K202" s="142"/>
    </row>
    <row r="203" spans="3:11" ht="12.75" customHeight="1" thickBot="1">
      <c r="C203" s="20">
        <v>198</v>
      </c>
      <c r="D203" s="143"/>
      <c r="E203" s="144"/>
      <c r="F203" s="143"/>
      <c r="H203" s="144"/>
      <c r="I203" s="144"/>
      <c r="J203" s="144"/>
      <c r="K203" s="145"/>
    </row>
    <row r="204" spans="3:11" ht="22.5">
      <c r="C204" s="20">
        <v>199</v>
      </c>
      <c r="D204" s="70" t="s">
        <v>1766</v>
      </c>
      <c r="E204" s="183" t="s">
        <v>1767</v>
      </c>
      <c r="F204" s="70" t="s">
        <v>1768</v>
      </c>
      <c r="K204" s="142"/>
    </row>
    <row r="205" spans="3:11" ht="12.75" customHeight="1">
      <c r="C205" s="20">
        <v>200</v>
      </c>
      <c r="D205" s="146"/>
      <c r="E205" s="64"/>
      <c r="F205" s="146"/>
      <c r="K205" s="142"/>
    </row>
    <row r="206" spans="3:11" ht="12.75" customHeight="1">
      <c r="C206" s="20">
        <v>201</v>
      </c>
      <c r="D206" s="37" t="s">
        <v>1769</v>
      </c>
      <c r="E206" s="23" t="s">
        <v>1770</v>
      </c>
      <c r="F206" s="37" t="s">
        <v>1771</v>
      </c>
      <c r="K206" s="142"/>
    </row>
    <row r="207" spans="3:11" ht="47.25" customHeight="1">
      <c r="C207" s="20">
        <v>202</v>
      </c>
      <c r="D207" s="37" t="s">
        <v>1772</v>
      </c>
      <c r="E207" s="23" t="s">
        <v>1773</v>
      </c>
      <c r="F207" s="37" t="s">
        <v>1774</v>
      </c>
      <c r="K207" s="142"/>
    </row>
    <row r="208" spans="3:11" ht="39.75" customHeight="1">
      <c r="C208" s="20">
        <v>203</v>
      </c>
      <c r="D208" s="37" t="s">
        <v>1775</v>
      </c>
      <c r="E208" s="23" t="s">
        <v>1776</v>
      </c>
      <c r="F208" s="37" t="s">
        <v>1777</v>
      </c>
      <c r="K208" s="142"/>
    </row>
    <row r="209" spans="3:11" ht="12.75" customHeight="1">
      <c r="C209" s="20">
        <v>204</v>
      </c>
      <c r="D209" s="37" t="s">
        <v>1778</v>
      </c>
      <c r="E209" s="257" t="s">
        <v>1779</v>
      </c>
      <c r="F209" s="37" t="s">
        <v>1780</v>
      </c>
      <c r="K209" s="142"/>
    </row>
    <row r="210" spans="3:11" ht="12.75" customHeight="1">
      <c r="C210" s="20">
        <v>205</v>
      </c>
      <c r="D210" s="37" t="s">
        <v>1781</v>
      </c>
      <c r="E210" s="257" t="s">
        <v>1779</v>
      </c>
      <c r="F210" s="37" t="s">
        <v>1782</v>
      </c>
      <c r="K210" s="142"/>
    </row>
    <row r="211" spans="3:11" ht="12.75" customHeight="1">
      <c r="C211" s="20">
        <v>206</v>
      </c>
      <c r="D211" s="37" t="s">
        <v>1783</v>
      </c>
      <c r="E211" s="257" t="s">
        <v>1779</v>
      </c>
      <c r="F211" s="37" t="s">
        <v>1784</v>
      </c>
      <c r="K211" s="142"/>
    </row>
    <row r="212" spans="3:11" ht="12.75" customHeight="1">
      <c r="C212" s="20">
        <v>207</v>
      </c>
      <c r="D212" s="37" t="s">
        <v>1785</v>
      </c>
      <c r="E212" s="23" t="s">
        <v>1786</v>
      </c>
      <c r="F212" s="37" t="s">
        <v>1787</v>
      </c>
      <c r="K212" s="142"/>
    </row>
    <row r="213" spans="3:11" ht="12.75" customHeight="1">
      <c r="C213" s="20">
        <v>208</v>
      </c>
      <c r="D213" s="148"/>
      <c r="E213" s="328"/>
      <c r="F213" s="221"/>
      <c r="K213" s="142"/>
    </row>
    <row r="214" spans="3:11" ht="12.75" customHeight="1">
      <c r="C214" s="20">
        <v>209</v>
      </c>
      <c r="D214" s="38" t="s">
        <v>1788</v>
      </c>
      <c r="E214" s="24" t="s">
        <v>1789</v>
      </c>
      <c r="F214" s="38" t="s">
        <v>1790</v>
      </c>
      <c r="K214" s="142"/>
    </row>
    <row r="215" spans="3:11" ht="12.75" customHeight="1">
      <c r="C215" s="20">
        <v>210</v>
      </c>
      <c r="D215" s="38" t="s">
        <v>1791</v>
      </c>
      <c r="E215" s="24" t="s">
        <v>1792</v>
      </c>
      <c r="F215" s="38" t="s">
        <v>1793</v>
      </c>
      <c r="K215" s="142"/>
    </row>
    <row r="216" spans="3:11" ht="12.75" customHeight="1">
      <c r="C216" s="20">
        <v>211</v>
      </c>
      <c r="D216" s="38" t="s">
        <v>1794</v>
      </c>
      <c r="E216" s="24" t="s">
        <v>1795</v>
      </c>
      <c r="F216" s="38" t="s">
        <v>1796</v>
      </c>
      <c r="K216" s="142"/>
    </row>
    <row r="217" spans="3:11" ht="12.75" customHeight="1">
      <c r="C217" s="20">
        <v>212</v>
      </c>
      <c r="D217" s="146"/>
      <c r="E217" s="64"/>
      <c r="F217" s="146"/>
      <c r="K217" s="142"/>
    </row>
    <row r="218" spans="3:11" ht="12.75" customHeight="1">
      <c r="C218" s="20">
        <v>213</v>
      </c>
      <c r="D218" s="37" t="s">
        <v>1769</v>
      </c>
      <c r="E218" s="23" t="s">
        <v>1770</v>
      </c>
      <c r="F218" s="37" t="s">
        <v>1771</v>
      </c>
      <c r="K218" s="142"/>
    </row>
    <row r="219" spans="3:11" ht="12.75" customHeight="1">
      <c r="C219" s="20">
        <v>214</v>
      </c>
      <c r="D219" s="37" t="s">
        <v>1778</v>
      </c>
      <c r="E219" s="257" t="s">
        <v>1779</v>
      </c>
      <c r="F219" s="37" t="s">
        <v>1780</v>
      </c>
      <c r="K219" s="142"/>
    </row>
    <row r="220" spans="3:11" ht="12.75" customHeight="1">
      <c r="C220" s="20">
        <v>215</v>
      </c>
      <c r="D220" s="37" t="s">
        <v>1797</v>
      </c>
      <c r="E220" s="257" t="s">
        <v>1779</v>
      </c>
      <c r="F220" s="37" t="s">
        <v>1782</v>
      </c>
      <c r="K220" s="142"/>
    </row>
    <row r="221" spans="3:11" ht="12.75" customHeight="1">
      <c r="C221" s="20">
        <v>216</v>
      </c>
      <c r="D221" s="37" t="s">
        <v>1785</v>
      </c>
      <c r="E221" s="23" t="s">
        <v>1786</v>
      </c>
      <c r="F221" s="37" t="s">
        <v>1787</v>
      </c>
      <c r="K221" s="142"/>
    </row>
    <row r="222" spans="3:11" ht="12.75" customHeight="1">
      <c r="C222" s="20">
        <v>217</v>
      </c>
      <c r="D222" s="38" t="s">
        <v>1798</v>
      </c>
      <c r="E222" s="24" t="s">
        <v>1799</v>
      </c>
      <c r="F222" s="38" t="s">
        <v>1800</v>
      </c>
      <c r="K222" s="142"/>
    </row>
    <row r="223" spans="3:11" ht="38.25">
      <c r="C223" s="20">
        <v>218</v>
      </c>
      <c r="D223" s="38" t="s">
        <v>1801</v>
      </c>
      <c r="E223" s="258" t="s">
        <v>1802</v>
      </c>
      <c r="F223" s="38" t="s">
        <v>1803</v>
      </c>
      <c r="K223" s="142"/>
    </row>
    <row r="224" spans="3:11" ht="12.75" customHeight="1">
      <c r="C224" s="20">
        <v>219</v>
      </c>
      <c r="D224" s="147"/>
      <c r="E224" s="283"/>
      <c r="F224" s="219"/>
      <c r="K224" s="142"/>
    </row>
    <row r="225" spans="3:11" ht="12.75" customHeight="1">
      <c r="C225" s="20">
        <v>220</v>
      </c>
      <c r="D225" s="39" t="s">
        <v>1804</v>
      </c>
      <c r="E225" s="1" t="s">
        <v>1805</v>
      </c>
      <c r="F225" s="222" t="s">
        <v>1806</v>
      </c>
      <c r="K225" s="142"/>
    </row>
    <row r="226" spans="3:11" ht="15.75" customHeight="1">
      <c r="C226" s="20">
        <v>221</v>
      </c>
      <c r="D226" s="40" t="s">
        <v>1807</v>
      </c>
      <c r="E226" s="16" t="s">
        <v>1808</v>
      </c>
      <c r="F226" s="223" t="s">
        <v>1809</v>
      </c>
      <c r="K226" s="142"/>
    </row>
    <row r="227" spans="3:11" ht="15.75" customHeight="1">
      <c r="C227" s="20">
        <v>222</v>
      </c>
      <c r="D227" s="38" t="s">
        <v>1810</v>
      </c>
      <c r="E227" s="24" t="s">
        <v>1811</v>
      </c>
      <c r="F227" s="186" t="s">
        <v>1812</v>
      </c>
      <c r="K227" s="142"/>
    </row>
    <row r="228" spans="3:11" ht="12.75" customHeight="1">
      <c r="C228" s="20">
        <v>223</v>
      </c>
      <c r="D228" s="41" t="s">
        <v>1813</v>
      </c>
      <c r="E228" s="25" t="s">
        <v>1814</v>
      </c>
      <c r="F228" s="38" t="s">
        <v>1815</v>
      </c>
      <c r="K228" s="142"/>
    </row>
    <row r="229" spans="3:11" ht="12.75" customHeight="1">
      <c r="C229" s="20">
        <v>224</v>
      </c>
      <c r="D229" s="39"/>
      <c r="E229" s="64"/>
      <c r="F229" s="222"/>
      <c r="K229" s="142"/>
    </row>
    <row r="230" spans="3:11" ht="12.75" customHeight="1">
      <c r="C230" s="20">
        <v>225</v>
      </c>
      <c r="D230" s="40" t="s">
        <v>1816</v>
      </c>
      <c r="E230" s="16" t="s">
        <v>1817</v>
      </c>
      <c r="F230" s="223" t="s">
        <v>1818</v>
      </c>
      <c r="K230" s="142"/>
    </row>
    <row r="231" spans="3:11" ht="12.75" customHeight="1">
      <c r="C231" s="20">
        <v>226</v>
      </c>
      <c r="D231" s="41" t="s">
        <v>1819</v>
      </c>
      <c r="E231" s="25" t="s">
        <v>1820</v>
      </c>
      <c r="F231" s="38" t="s">
        <v>1821</v>
      </c>
      <c r="K231" s="142"/>
    </row>
    <row r="232" spans="3:11" ht="15.75" customHeight="1">
      <c r="C232" s="20">
        <v>227</v>
      </c>
      <c r="D232" s="41" t="s">
        <v>1822</v>
      </c>
      <c r="E232" s="25" t="s">
        <v>1823</v>
      </c>
      <c r="F232" s="38" t="s">
        <v>1824</v>
      </c>
      <c r="K232" s="142"/>
    </row>
    <row r="233" spans="3:11" ht="15.75" customHeight="1">
      <c r="C233" s="20">
        <v>228</v>
      </c>
      <c r="D233" s="41" t="s">
        <v>1825</v>
      </c>
      <c r="E233" s="25" t="s">
        <v>1826</v>
      </c>
      <c r="F233" s="38" t="s">
        <v>1827</v>
      </c>
      <c r="K233" s="142"/>
    </row>
    <row r="234" spans="3:11" ht="15.75" customHeight="1">
      <c r="C234" s="20">
        <v>229</v>
      </c>
      <c r="D234" s="41" t="s">
        <v>1828</v>
      </c>
      <c r="E234" s="25" t="s">
        <v>1829</v>
      </c>
      <c r="F234" s="38" t="s">
        <v>1830</v>
      </c>
      <c r="K234" s="142"/>
    </row>
    <row r="235" spans="3:11" ht="15.75" customHeight="1">
      <c r="C235" s="20">
        <v>230</v>
      </c>
      <c r="D235" s="41" t="s">
        <v>1831</v>
      </c>
      <c r="E235" s="25" t="s">
        <v>1832</v>
      </c>
      <c r="F235" s="38" t="s">
        <v>1833</v>
      </c>
      <c r="K235" s="142"/>
    </row>
    <row r="236" spans="3:11" ht="15.75" customHeight="1">
      <c r="C236" s="20">
        <v>231</v>
      </c>
      <c r="D236" s="41" t="s">
        <v>1834</v>
      </c>
      <c r="E236" s="25" t="s">
        <v>1835</v>
      </c>
      <c r="F236" s="38" t="s">
        <v>1836</v>
      </c>
      <c r="K236" s="142"/>
    </row>
    <row r="237" spans="3:11" ht="15.75" customHeight="1">
      <c r="C237" s="20">
        <v>232</v>
      </c>
      <c r="D237" s="41" t="s">
        <v>1837</v>
      </c>
      <c r="E237" s="25" t="s">
        <v>1838</v>
      </c>
      <c r="F237" s="38" t="s">
        <v>1839</v>
      </c>
      <c r="K237" s="142"/>
    </row>
    <row r="238" spans="3:11" ht="15.75" customHeight="1">
      <c r="C238" s="20">
        <v>233</v>
      </c>
      <c r="D238" s="41" t="s">
        <v>1840</v>
      </c>
      <c r="E238" s="25" t="s">
        <v>1841</v>
      </c>
      <c r="F238" s="38" t="s">
        <v>1842</v>
      </c>
      <c r="K238" s="142"/>
    </row>
    <row r="239" spans="3:11" ht="15.75" customHeight="1">
      <c r="C239" s="20">
        <v>234</v>
      </c>
      <c r="D239" s="41" t="s">
        <v>1843</v>
      </c>
      <c r="E239" s="25" t="s">
        <v>1844</v>
      </c>
      <c r="F239" s="38" t="s">
        <v>1845</v>
      </c>
      <c r="K239" s="142"/>
    </row>
    <row r="240" spans="3:11" ht="15.75" customHeight="1">
      <c r="C240" s="20">
        <v>235</v>
      </c>
      <c r="D240" s="41" t="s">
        <v>1846</v>
      </c>
      <c r="E240" s="25" t="s">
        <v>1847</v>
      </c>
      <c r="F240" s="38" t="s">
        <v>1848</v>
      </c>
      <c r="K240" s="142"/>
    </row>
    <row r="241" spans="3:11">
      <c r="C241" s="20">
        <v>236</v>
      </c>
      <c r="D241" s="39"/>
      <c r="E241" s="64"/>
      <c r="F241" s="222"/>
      <c r="K241" s="142"/>
    </row>
    <row r="242" spans="3:11" ht="44.45" customHeight="1">
      <c r="C242" s="20">
        <v>237</v>
      </c>
      <c r="D242" s="31" t="s">
        <v>1849</v>
      </c>
      <c r="E242" s="20" t="s">
        <v>1850</v>
      </c>
      <c r="F242" s="31" t="s">
        <v>1851</v>
      </c>
      <c r="K242" s="142"/>
    </row>
    <row r="243" spans="3:11">
      <c r="C243" s="20">
        <v>238</v>
      </c>
      <c r="D243" s="42" t="s">
        <v>1852</v>
      </c>
      <c r="E243" s="26" t="s">
        <v>1853</v>
      </c>
      <c r="F243" s="42" t="s">
        <v>1854</v>
      </c>
      <c r="K243" s="142"/>
    </row>
    <row r="244" spans="3:11">
      <c r="C244" s="20">
        <v>239</v>
      </c>
      <c r="D244" s="43" t="s">
        <v>1855</v>
      </c>
      <c r="E244" s="27" t="s">
        <v>1856</v>
      </c>
      <c r="F244" s="42" t="s">
        <v>1857</v>
      </c>
      <c r="K244" s="142"/>
    </row>
    <row r="245" spans="3:11">
      <c r="C245" s="20">
        <v>240</v>
      </c>
      <c r="D245" s="44" t="s">
        <v>1858</v>
      </c>
      <c r="E245" s="28" t="s">
        <v>1859</v>
      </c>
      <c r="F245" s="44" t="s">
        <v>1860</v>
      </c>
      <c r="K245" s="142"/>
    </row>
    <row r="246" spans="3:11">
      <c r="C246" s="20">
        <v>241</v>
      </c>
      <c r="D246" s="42" t="s">
        <v>1861</v>
      </c>
      <c r="E246" s="26" t="s">
        <v>1862</v>
      </c>
      <c r="F246" s="42" t="s">
        <v>1863</v>
      </c>
      <c r="K246" s="142"/>
    </row>
    <row r="247" spans="3:11" ht="25.5">
      <c r="C247" s="20">
        <v>242</v>
      </c>
      <c r="D247" s="42" t="s">
        <v>1864</v>
      </c>
      <c r="E247" s="26" t="s">
        <v>1865</v>
      </c>
      <c r="F247" s="42" t="s">
        <v>1866</v>
      </c>
      <c r="K247" s="142"/>
    </row>
    <row r="248" spans="3:11" ht="25.5">
      <c r="C248" s="20">
        <v>243</v>
      </c>
      <c r="D248" s="42" t="s">
        <v>1867</v>
      </c>
      <c r="E248" s="26" t="s">
        <v>1868</v>
      </c>
      <c r="F248" s="42" t="s">
        <v>1869</v>
      </c>
      <c r="K248" s="142"/>
    </row>
    <row r="249" spans="3:11" ht="63.75">
      <c r="C249" s="20">
        <v>244</v>
      </c>
      <c r="D249" s="42" t="s">
        <v>1870</v>
      </c>
      <c r="E249" s="26" t="s">
        <v>1871</v>
      </c>
      <c r="F249" s="42" t="s">
        <v>1872</v>
      </c>
      <c r="K249" s="142"/>
    </row>
    <row r="250" spans="3:11">
      <c r="C250" s="20">
        <v>245</v>
      </c>
      <c r="D250" s="146"/>
      <c r="E250" s="64"/>
      <c r="K250" s="142"/>
    </row>
    <row r="251" spans="3:11" ht="13.5" thickBot="1">
      <c r="C251" s="20">
        <v>246</v>
      </c>
      <c r="D251" s="143"/>
      <c r="E251" s="144"/>
      <c r="F251" s="143"/>
      <c r="H251" s="144"/>
      <c r="I251" s="144"/>
      <c r="J251" s="144"/>
      <c r="K251" s="145"/>
    </row>
    <row r="252" spans="3:11" ht="19.5" customHeight="1">
      <c r="C252" s="20">
        <v>247</v>
      </c>
      <c r="D252" s="49" t="s">
        <v>1873</v>
      </c>
      <c r="E252" s="9" t="s">
        <v>1874</v>
      </c>
      <c r="F252" s="95" t="s">
        <v>1875</v>
      </c>
      <c r="K252" s="142"/>
    </row>
    <row r="253" spans="3:11" ht="19.5" customHeight="1">
      <c r="C253" s="20">
        <v>248</v>
      </c>
      <c r="D253" s="92"/>
      <c r="E253" s="93"/>
      <c r="F253" s="72"/>
      <c r="K253" s="142"/>
    </row>
    <row r="254" spans="3:11" ht="12.75" customHeight="1">
      <c r="C254" s="20">
        <v>249</v>
      </c>
      <c r="D254" s="39" t="s">
        <v>1876</v>
      </c>
      <c r="E254" s="1" t="s">
        <v>1877</v>
      </c>
      <c r="F254" s="222" t="s">
        <v>1878</v>
      </c>
      <c r="K254" s="142"/>
    </row>
    <row r="255" spans="3:11" ht="12.75" customHeight="1">
      <c r="C255" s="20">
        <v>250</v>
      </c>
      <c r="D255" s="77" t="s">
        <v>43</v>
      </c>
      <c r="E255" s="78" t="s">
        <v>1090</v>
      </c>
      <c r="F255" s="86" t="s">
        <v>1879</v>
      </c>
      <c r="K255" s="142"/>
    </row>
    <row r="256" spans="3:11" ht="12.75" customHeight="1">
      <c r="C256" s="20">
        <v>251</v>
      </c>
      <c r="D256" s="60" t="s">
        <v>1880</v>
      </c>
      <c r="E256" s="60" t="s">
        <v>1881</v>
      </c>
      <c r="F256" s="60" t="s">
        <v>1882</v>
      </c>
      <c r="K256" s="142"/>
    </row>
    <row r="257" spans="3:11" ht="12.75" customHeight="1">
      <c r="C257" s="20">
        <v>252</v>
      </c>
      <c r="D257" s="79" t="s">
        <v>1883</v>
      </c>
      <c r="E257" s="80" t="s">
        <v>1884</v>
      </c>
      <c r="F257" s="133" t="s">
        <v>1885</v>
      </c>
      <c r="K257" s="142"/>
    </row>
    <row r="258" spans="3:11" ht="12.75" customHeight="1">
      <c r="C258" s="20">
        <v>253</v>
      </c>
      <c r="D258" s="79"/>
      <c r="E258" s="80"/>
      <c r="F258" s="133"/>
      <c r="K258" s="142"/>
    </row>
    <row r="259" spans="3:11" ht="12.75" customHeight="1">
      <c r="C259" s="20">
        <v>254</v>
      </c>
      <c r="D259" s="79" t="s">
        <v>1886</v>
      </c>
      <c r="E259" s="80" t="s">
        <v>1887</v>
      </c>
      <c r="F259" s="133" t="s">
        <v>1888</v>
      </c>
      <c r="K259" s="142"/>
    </row>
    <row r="260" spans="3:11" ht="12.75" customHeight="1">
      <c r="C260" s="20">
        <v>255</v>
      </c>
      <c r="D260" s="79" t="s">
        <v>1889</v>
      </c>
      <c r="E260" s="80" t="s">
        <v>1890</v>
      </c>
      <c r="F260" s="133" t="s">
        <v>1891</v>
      </c>
      <c r="K260" s="142"/>
    </row>
    <row r="261" spans="3:11" ht="12.75" customHeight="1">
      <c r="C261" s="20">
        <v>256</v>
      </c>
      <c r="D261" s="79" t="s">
        <v>1892</v>
      </c>
      <c r="E261" s="80" t="s">
        <v>1893</v>
      </c>
      <c r="F261" s="133" t="s">
        <v>1894</v>
      </c>
      <c r="K261" s="142"/>
    </row>
    <row r="262" spans="3:11" ht="12.75" customHeight="1">
      <c r="C262" s="20">
        <v>257</v>
      </c>
      <c r="D262" s="79" t="s">
        <v>1895</v>
      </c>
      <c r="E262" s="80" t="s">
        <v>1896</v>
      </c>
      <c r="F262" s="133" t="s">
        <v>1897</v>
      </c>
      <c r="K262" s="142"/>
    </row>
    <row r="263" spans="3:11" ht="12.75" customHeight="1">
      <c r="C263" s="20">
        <v>258</v>
      </c>
      <c r="D263" s="79" t="s">
        <v>1898</v>
      </c>
      <c r="E263" s="80" t="s">
        <v>1899</v>
      </c>
      <c r="F263" s="133" t="s">
        <v>1900</v>
      </c>
      <c r="K263" s="142"/>
    </row>
    <row r="264" spans="3:11" ht="12.75" customHeight="1">
      <c r="C264" s="20">
        <v>259</v>
      </c>
      <c r="D264" s="79" t="s">
        <v>1901</v>
      </c>
      <c r="E264" s="80" t="s">
        <v>1902</v>
      </c>
      <c r="F264" s="133" t="s">
        <v>1903</v>
      </c>
      <c r="K264" s="142"/>
    </row>
    <row r="265" spans="3:11" ht="12.75" customHeight="1">
      <c r="C265" s="20">
        <v>260</v>
      </c>
      <c r="D265" s="79" t="s">
        <v>1904</v>
      </c>
      <c r="E265" s="80" t="s">
        <v>1905</v>
      </c>
      <c r="F265" s="133" t="s">
        <v>1906</v>
      </c>
      <c r="K265" s="142"/>
    </row>
    <row r="266" spans="3:11" ht="12.75" customHeight="1">
      <c r="C266" s="20">
        <v>261</v>
      </c>
      <c r="D266" s="79"/>
      <c r="E266" s="80"/>
      <c r="F266" s="133"/>
      <c r="K266" s="142"/>
    </row>
    <row r="267" spans="3:11" ht="12.75" customHeight="1">
      <c r="C267" s="20">
        <v>262</v>
      </c>
      <c r="D267" s="41" t="s">
        <v>1907</v>
      </c>
      <c r="E267" s="25" t="s">
        <v>1908</v>
      </c>
      <c r="F267" s="38" t="s">
        <v>1909</v>
      </c>
      <c r="K267" s="142"/>
    </row>
    <row r="268" spans="3:11" ht="12.75" customHeight="1">
      <c r="C268" s="20">
        <v>263</v>
      </c>
      <c r="D268" s="79" t="s">
        <v>1910</v>
      </c>
      <c r="E268" s="104" t="s">
        <v>1911</v>
      </c>
      <c r="F268" s="133" t="s">
        <v>1912</v>
      </c>
      <c r="K268" s="142"/>
    </row>
    <row r="269" spans="3:11" ht="38.25">
      <c r="C269" s="20">
        <v>264</v>
      </c>
      <c r="D269" s="133" t="s">
        <v>1913</v>
      </c>
      <c r="E269" s="260" t="s">
        <v>1914</v>
      </c>
      <c r="F269" s="133" t="s">
        <v>1915</v>
      </c>
      <c r="K269" s="142"/>
    </row>
    <row r="270" spans="3:11" ht="12.75" customHeight="1">
      <c r="C270" s="20">
        <v>265</v>
      </c>
      <c r="D270" s="305" t="s">
        <v>1916</v>
      </c>
      <c r="E270" s="329" t="s">
        <v>1917</v>
      </c>
      <c r="F270" s="259" t="s">
        <v>1730</v>
      </c>
      <c r="K270" s="142"/>
    </row>
    <row r="271" spans="3:11" ht="12.75" customHeight="1">
      <c r="C271" s="20">
        <v>266</v>
      </c>
      <c r="D271" s="41" t="s">
        <v>1918</v>
      </c>
      <c r="E271" s="25" t="s">
        <v>1919</v>
      </c>
      <c r="F271" s="38" t="s">
        <v>1920</v>
      </c>
      <c r="K271" s="142"/>
    </row>
    <row r="272" spans="3:11" ht="12.75" customHeight="1">
      <c r="C272" s="20">
        <v>267</v>
      </c>
      <c r="D272" s="330" t="s">
        <v>1921</v>
      </c>
      <c r="E272" s="104" t="s">
        <v>1922</v>
      </c>
      <c r="F272" s="133" t="s">
        <v>1923</v>
      </c>
      <c r="K272" s="142"/>
    </row>
    <row r="273" spans="3:11" ht="38.25">
      <c r="C273" s="20">
        <v>268</v>
      </c>
      <c r="D273" s="133" t="s">
        <v>1913</v>
      </c>
      <c r="E273" s="260" t="s">
        <v>1924</v>
      </c>
      <c r="F273" s="133" t="s">
        <v>1915</v>
      </c>
      <c r="K273" s="142"/>
    </row>
    <row r="274" spans="3:11" ht="51">
      <c r="C274" s="20">
        <v>269</v>
      </c>
      <c r="D274" s="133" t="s">
        <v>1925</v>
      </c>
      <c r="E274" s="260" t="s">
        <v>1926</v>
      </c>
      <c r="F274" s="133" t="s">
        <v>1927</v>
      </c>
      <c r="K274" s="142"/>
    </row>
    <row r="275" spans="3:11">
      <c r="C275" s="20">
        <v>270</v>
      </c>
      <c r="D275" s="40" t="s">
        <v>1928</v>
      </c>
      <c r="E275" s="16" t="s">
        <v>1929</v>
      </c>
      <c r="F275" s="223" t="s">
        <v>1930</v>
      </c>
      <c r="K275" s="142"/>
    </row>
    <row r="276" spans="3:11" ht="171" customHeight="1">
      <c r="C276" s="20">
        <v>271</v>
      </c>
      <c r="D276" s="169" t="s">
        <v>1931</v>
      </c>
      <c r="E276" s="169" t="s">
        <v>1932</v>
      </c>
      <c r="F276" s="169" t="s">
        <v>1933</v>
      </c>
      <c r="K276" s="142"/>
    </row>
    <row r="277" spans="3:11" ht="51">
      <c r="C277" s="20">
        <v>272</v>
      </c>
      <c r="D277" s="149" t="s">
        <v>1934</v>
      </c>
      <c r="E277" s="331" t="s">
        <v>1935</v>
      </c>
      <c r="F277" s="149" t="s">
        <v>1936</v>
      </c>
      <c r="K277" s="142"/>
    </row>
    <row r="278" spans="3:11" ht="89.25">
      <c r="C278" s="20">
        <v>273</v>
      </c>
      <c r="D278" s="149" t="s">
        <v>1937</v>
      </c>
      <c r="E278" s="331" t="s">
        <v>1938</v>
      </c>
      <c r="F278" s="149" t="s">
        <v>1939</v>
      </c>
      <c r="K278" s="142"/>
    </row>
    <row r="279" spans="3:11" ht="38.25">
      <c r="C279" s="20">
        <v>274</v>
      </c>
      <c r="D279" s="149" t="s">
        <v>1940</v>
      </c>
      <c r="E279" s="331" t="s">
        <v>1941</v>
      </c>
      <c r="F279" s="149" t="s">
        <v>1942</v>
      </c>
      <c r="K279" s="142"/>
    </row>
    <row r="280" spans="3:11" ht="38.25">
      <c r="C280" s="20">
        <v>275</v>
      </c>
      <c r="D280" s="332" t="s">
        <v>1943</v>
      </c>
      <c r="E280" s="331" t="s">
        <v>1944</v>
      </c>
      <c r="F280" s="332" t="s">
        <v>1945</v>
      </c>
      <c r="K280" s="142"/>
    </row>
    <row r="281" spans="3:11" ht="51">
      <c r="C281" s="20">
        <v>276</v>
      </c>
      <c r="D281" s="332" t="s">
        <v>1946</v>
      </c>
      <c r="E281" s="333" t="s">
        <v>1947</v>
      </c>
      <c r="F281" s="332" t="s">
        <v>1948</v>
      </c>
      <c r="K281" s="142"/>
    </row>
    <row r="282" spans="3:11" ht="51">
      <c r="C282" s="20">
        <v>277</v>
      </c>
      <c r="D282" s="332" t="s">
        <v>1949</v>
      </c>
      <c r="E282" s="333" t="s">
        <v>1950</v>
      </c>
      <c r="F282" s="332" t="s">
        <v>1951</v>
      </c>
      <c r="K282" s="142"/>
    </row>
    <row r="283" spans="3:11" ht="12.75" customHeight="1">
      <c r="C283" s="20">
        <v>278</v>
      </c>
      <c r="D283" s="146"/>
      <c r="E283" s="333"/>
      <c r="F283" s="146"/>
      <c r="K283" s="142"/>
    </row>
    <row r="284" spans="3:11" ht="19.5" customHeight="1">
      <c r="C284" s="20">
        <v>279</v>
      </c>
      <c r="D284" s="49" t="s">
        <v>1952</v>
      </c>
      <c r="E284" s="61" t="s">
        <v>1953</v>
      </c>
      <c r="F284" s="95" t="s">
        <v>1954</v>
      </c>
      <c r="K284" s="142"/>
    </row>
    <row r="285" spans="3:11" ht="12.75" customHeight="1">
      <c r="C285" s="20">
        <v>280</v>
      </c>
      <c r="D285" s="94" t="s">
        <v>1955</v>
      </c>
      <c r="E285" s="56" t="s">
        <v>1956</v>
      </c>
      <c r="F285" s="224" t="s">
        <v>1957</v>
      </c>
      <c r="K285" s="142"/>
    </row>
    <row r="286" spans="3:11" ht="12.75" customHeight="1">
      <c r="C286" s="20">
        <v>281</v>
      </c>
      <c r="D286" s="39" t="s">
        <v>118</v>
      </c>
      <c r="E286" s="5" t="s">
        <v>1958</v>
      </c>
      <c r="F286" s="222" t="s">
        <v>1959</v>
      </c>
      <c r="K286" s="142"/>
    </row>
    <row r="287" spans="3:11" ht="19.5" customHeight="1">
      <c r="C287" s="20">
        <v>282</v>
      </c>
      <c r="D287" s="49" t="s">
        <v>1960</v>
      </c>
      <c r="E287" s="61" t="s">
        <v>1961</v>
      </c>
      <c r="F287" s="95" t="s">
        <v>1962</v>
      </c>
      <c r="K287" s="142"/>
    </row>
    <row r="288" spans="3:11" ht="12.75" customHeight="1">
      <c r="C288" s="20">
        <v>283</v>
      </c>
      <c r="D288" s="94" t="s">
        <v>1963</v>
      </c>
      <c r="E288" s="56" t="s">
        <v>1964</v>
      </c>
      <c r="F288" s="224" t="s">
        <v>1965</v>
      </c>
      <c r="K288" s="142"/>
    </row>
    <row r="289" spans="3:11" ht="12.75" customHeight="1">
      <c r="C289" s="20">
        <v>284</v>
      </c>
      <c r="D289" s="39" t="s">
        <v>118</v>
      </c>
      <c r="E289" s="5" t="s">
        <v>1958</v>
      </c>
      <c r="F289" s="222" t="s">
        <v>118</v>
      </c>
      <c r="K289" s="142"/>
    </row>
    <row r="290" spans="3:11" ht="19.5" customHeight="1">
      <c r="C290" s="20">
        <v>285</v>
      </c>
      <c r="D290" s="95" t="s">
        <v>1966</v>
      </c>
      <c r="E290" s="95" t="s">
        <v>1967</v>
      </c>
      <c r="F290" s="95" t="s">
        <v>1968</v>
      </c>
      <c r="K290" s="142"/>
    </row>
    <row r="291" spans="3:11" ht="12.75" customHeight="1">
      <c r="C291" s="20">
        <v>286</v>
      </c>
      <c r="D291" s="150" t="s">
        <v>1969</v>
      </c>
      <c r="E291" s="321" t="s">
        <v>1970</v>
      </c>
      <c r="F291" s="160" t="s">
        <v>1971</v>
      </c>
      <c r="K291" s="142"/>
    </row>
    <row r="292" spans="3:11" ht="19.5" customHeight="1">
      <c r="C292" s="20">
        <v>287</v>
      </c>
      <c r="D292" s="95" t="s">
        <v>1972</v>
      </c>
      <c r="E292" s="62" t="s">
        <v>1973</v>
      </c>
      <c r="F292" s="95" t="s">
        <v>1974</v>
      </c>
      <c r="K292" s="142"/>
    </row>
    <row r="293" spans="3:11" ht="12.75" customHeight="1">
      <c r="C293" s="20">
        <v>288</v>
      </c>
      <c r="D293" s="151" t="s">
        <v>1975</v>
      </c>
      <c r="E293" s="64" t="s">
        <v>1976</v>
      </c>
      <c r="F293" s="155" t="s">
        <v>1977</v>
      </c>
      <c r="K293" s="142"/>
    </row>
    <row r="294" spans="3:11" ht="12.75" customHeight="1">
      <c r="C294" s="20">
        <v>289</v>
      </c>
      <c r="D294" s="152" t="s">
        <v>1978</v>
      </c>
      <c r="E294" s="334" t="s">
        <v>1979</v>
      </c>
      <c r="F294" s="158" t="s">
        <v>1980</v>
      </c>
      <c r="K294" s="142"/>
    </row>
    <row r="295" spans="3:11" ht="12.75" customHeight="1">
      <c r="C295" s="20">
        <v>290</v>
      </c>
      <c r="D295" s="147" t="s">
        <v>1981</v>
      </c>
      <c r="E295" s="64" t="s">
        <v>1982</v>
      </c>
      <c r="F295" s="219" t="s">
        <v>1983</v>
      </c>
      <c r="K295" s="142"/>
    </row>
    <row r="296" spans="3:11" ht="12.75" customHeight="1">
      <c r="C296" s="20">
        <v>291</v>
      </c>
      <c r="D296" s="153" t="s">
        <v>1984</v>
      </c>
      <c r="E296" s="335" t="s">
        <v>1985</v>
      </c>
      <c r="F296" s="225" t="s">
        <v>1986</v>
      </c>
      <c r="K296" s="142"/>
    </row>
    <row r="297" spans="3:11" ht="13.5" customHeight="1" thickBot="1">
      <c r="C297" s="20">
        <v>292</v>
      </c>
      <c r="D297" s="154" t="s">
        <v>1987</v>
      </c>
      <c r="E297" s="336" t="s">
        <v>1988</v>
      </c>
      <c r="F297" s="226" t="s">
        <v>1989</v>
      </c>
      <c r="K297" s="142"/>
    </row>
    <row r="298" spans="3:11" ht="13.5" customHeight="1" thickTop="1">
      <c r="C298" s="20">
        <v>293</v>
      </c>
      <c r="D298" s="152" t="s">
        <v>118</v>
      </c>
      <c r="E298" s="64" t="s">
        <v>1958</v>
      </c>
      <c r="F298" s="158" t="s">
        <v>118</v>
      </c>
      <c r="K298" s="142"/>
    </row>
    <row r="299" spans="3:11" ht="19.5" customHeight="1">
      <c r="C299" s="20">
        <v>294</v>
      </c>
      <c r="D299" s="95" t="s">
        <v>1990</v>
      </c>
      <c r="E299" s="62" t="s">
        <v>1991</v>
      </c>
      <c r="F299" s="95" t="s">
        <v>1992</v>
      </c>
      <c r="K299" s="142"/>
    </row>
    <row r="300" spans="3:11" ht="12.75" customHeight="1">
      <c r="C300" s="20">
        <v>295</v>
      </c>
      <c r="D300" s="151" t="s">
        <v>1993</v>
      </c>
      <c r="E300" s="64" t="s">
        <v>1994</v>
      </c>
      <c r="F300" s="155" t="s">
        <v>1995</v>
      </c>
      <c r="K300" s="142"/>
    </row>
    <row r="301" spans="3:11" ht="12.75" customHeight="1">
      <c r="C301" s="20">
        <v>296</v>
      </c>
      <c r="D301" s="152" t="s">
        <v>1996</v>
      </c>
      <c r="E301" s="64" t="s">
        <v>1997</v>
      </c>
      <c r="F301" s="158" t="s">
        <v>1998</v>
      </c>
      <c r="K301" s="142"/>
    </row>
    <row r="302" spans="3:11" ht="12.75" customHeight="1">
      <c r="C302" s="20">
        <v>297</v>
      </c>
      <c r="D302" s="152" t="s">
        <v>1999</v>
      </c>
      <c r="E302" s="64" t="s">
        <v>2000</v>
      </c>
      <c r="F302" s="158" t="s">
        <v>2001</v>
      </c>
      <c r="K302" s="142"/>
    </row>
    <row r="303" spans="3:11" ht="12.75" customHeight="1">
      <c r="C303" s="20">
        <v>298</v>
      </c>
      <c r="D303" s="152" t="s">
        <v>2002</v>
      </c>
      <c r="E303" s="64" t="s">
        <v>2003</v>
      </c>
      <c r="F303" s="158" t="s">
        <v>2004</v>
      </c>
      <c r="K303" s="142"/>
    </row>
    <row r="304" spans="3:11" ht="12.75" customHeight="1">
      <c r="C304" s="20">
        <v>299</v>
      </c>
      <c r="D304" s="96" t="s">
        <v>2005</v>
      </c>
      <c r="E304" s="97" t="s">
        <v>2006</v>
      </c>
      <c r="F304" s="227" t="s">
        <v>2007</v>
      </c>
      <c r="K304" s="142"/>
    </row>
    <row r="305" spans="3:11" ht="13.5" customHeight="1" thickBot="1">
      <c r="C305" s="20">
        <v>300</v>
      </c>
      <c r="D305" s="154" t="s">
        <v>1987</v>
      </c>
      <c r="E305" s="336" t="s">
        <v>1988</v>
      </c>
      <c r="F305" s="226" t="s">
        <v>1989</v>
      </c>
      <c r="K305" s="142"/>
    </row>
    <row r="306" spans="3:11" ht="13.5" customHeight="1" thickTop="1">
      <c r="C306" s="20">
        <v>301</v>
      </c>
      <c r="D306" s="152" t="s">
        <v>118</v>
      </c>
      <c r="E306" s="64" t="s">
        <v>1958</v>
      </c>
      <c r="F306" s="158" t="s">
        <v>118</v>
      </c>
      <c r="K306" s="142"/>
    </row>
    <row r="307" spans="3:11" ht="19.5" customHeight="1">
      <c r="C307" s="20">
        <v>302</v>
      </c>
      <c r="D307" s="95" t="s">
        <v>2008</v>
      </c>
      <c r="E307" s="62" t="s">
        <v>2009</v>
      </c>
      <c r="F307" s="95" t="s">
        <v>2010</v>
      </c>
      <c r="K307" s="142"/>
    </row>
    <row r="308" spans="3:11" ht="12.75" customHeight="1">
      <c r="C308" s="20">
        <v>303</v>
      </c>
      <c r="D308" s="155" t="s">
        <v>2011</v>
      </c>
      <c r="E308" s="64" t="s">
        <v>2012</v>
      </c>
      <c r="F308" s="155" t="s">
        <v>2013</v>
      </c>
      <c r="K308" s="142"/>
    </row>
    <row r="309" spans="3:11" ht="12.75" customHeight="1">
      <c r="C309" s="20">
        <v>304</v>
      </c>
      <c r="D309" s="8" t="s">
        <v>2014</v>
      </c>
      <c r="E309" s="8" t="s">
        <v>2015</v>
      </c>
      <c r="F309" s="262" t="s">
        <v>2016</v>
      </c>
      <c r="K309" s="142"/>
    </row>
    <row r="310" spans="3:11" ht="12.75" customHeight="1">
      <c r="C310" s="20">
        <v>305</v>
      </c>
      <c r="D310" s="8" t="s">
        <v>2017</v>
      </c>
      <c r="E310" s="8" t="s">
        <v>2018</v>
      </c>
      <c r="F310" s="262" t="s">
        <v>2019</v>
      </c>
      <c r="K310" s="142"/>
    </row>
    <row r="311" spans="3:11" ht="12.75" customHeight="1">
      <c r="C311" s="20">
        <v>306</v>
      </c>
      <c r="D311" s="152" t="s">
        <v>2020</v>
      </c>
      <c r="E311" s="64" t="s">
        <v>2021</v>
      </c>
      <c r="F311" s="158" t="s">
        <v>2022</v>
      </c>
      <c r="K311" s="142"/>
    </row>
    <row r="312" spans="3:11" ht="12.75" customHeight="1">
      <c r="C312" s="20">
        <v>307</v>
      </c>
      <c r="D312" s="152" t="s">
        <v>2023</v>
      </c>
      <c r="E312" s="64" t="s">
        <v>2024</v>
      </c>
      <c r="F312" s="158" t="s">
        <v>2025</v>
      </c>
      <c r="K312" s="142"/>
    </row>
    <row r="313" spans="3:11" ht="13.5" customHeight="1" thickBot="1">
      <c r="C313" s="20">
        <v>308</v>
      </c>
      <c r="D313" s="156" t="s">
        <v>1987</v>
      </c>
      <c r="E313" s="337" t="s">
        <v>1988</v>
      </c>
      <c r="F313" s="228" t="s">
        <v>1989</v>
      </c>
      <c r="K313" s="142"/>
    </row>
    <row r="314" spans="3:11" ht="13.5" customHeight="1" thickTop="1">
      <c r="C314" s="20">
        <v>309</v>
      </c>
      <c r="D314" s="152" t="s">
        <v>118</v>
      </c>
      <c r="E314" s="64" t="s">
        <v>1958</v>
      </c>
      <c r="F314" s="158" t="s">
        <v>118</v>
      </c>
      <c r="K314" s="142"/>
    </row>
    <row r="315" spans="3:11" ht="19.5" customHeight="1">
      <c r="C315" s="20">
        <v>310</v>
      </c>
      <c r="D315" s="95" t="s">
        <v>2026</v>
      </c>
      <c r="E315" s="62" t="s">
        <v>2027</v>
      </c>
      <c r="F315" s="95" t="s">
        <v>2028</v>
      </c>
      <c r="K315" s="142"/>
    </row>
    <row r="316" spans="3:11" ht="12.75" customHeight="1">
      <c r="C316" s="20">
        <v>311</v>
      </c>
      <c r="D316" s="338" t="s">
        <v>2029</v>
      </c>
      <c r="E316" s="311" t="s">
        <v>2030</v>
      </c>
      <c r="F316" s="339" t="s">
        <v>2029</v>
      </c>
      <c r="K316" s="142"/>
    </row>
    <row r="317" spans="3:11" ht="12.75" customHeight="1">
      <c r="C317" s="20">
        <v>312</v>
      </c>
      <c r="D317" s="157" t="s">
        <v>2031</v>
      </c>
      <c r="E317" s="64" t="s">
        <v>2032</v>
      </c>
      <c r="F317" s="229" t="s">
        <v>2033</v>
      </c>
      <c r="K317" s="142"/>
    </row>
    <row r="318" spans="3:11" ht="12.75" customHeight="1">
      <c r="C318" s="20">
        <v>313</v>
      </c>
      <c r="D318" s="157" t="s">
        <v>2034</v>
      </c>
      <c r="E318" s="64" t="s">
        <v>2035</v>
      </c>
      <c r="F318" s="229" t="s">
        <v>2036</v>
      </c>
      <c r="K318" s="142"/>
    </row>
    <row r="319" spans="3:11" ht="12.75" customHeight="1">
      <c r="C319" s="20">
        <v>314</v>
      </c>
      <c r="D319" s="157" t="s">
        <v>2037</v>
      </c>
      <c r="E319" s="64" t="s">
        <v>2038</v>
      </c>
      <c r="F319" s="229" t="s">
        <v>2039</v>
      </c>
      <c r="K319" s="142"/>
    </row>
    <row r="320" spans="3:11" ht="12.75" customHeight="1">
      <c r="C320" s="20">
        <v>315</v>
      </c>
      <c r="D320" s="157" t="s">
        <v>2040</v>
      </c>
      <c r="E320" s="64" t="s">
        <v>2041</v>
      </c>
      <c r="F320" s="229" t="s">
        <v>2042</v>
      </c>
      <c r="K320" s="142"/>
    </row>
    <row r="321" spans="3:11" ht="13.5" customHeight="1" thickBot="1">
      <c r="C321" s="20">
        <v>316</v>
      </c>
      <c r="D321" s="154" t="s">
        <v>116</v>
      </c>
      <c r="E321" s="340" t="s">
        <v>2043</v>
      </c>
      <c r="F321" s="226" t="s">
        <v>2044</v>
      </c>
      <c r="K321" s="142"/>
    </row>
    <row r="322" spans="3:11" ht="20.25" customHeight="1" thickTop="1">
      <c r="C322" s="20">
        <v>317</v>
      </c>
      <c r="D322" s="95" t="s">
        <v>2045</v>
      </c>
      <c r="E322" s="62" t="s">
        <v>2046</v>
      </c>
      <c r="F322" s="95" t="s">
        <v>2047</v>
      </c>
      <c r="K322" s="142"/>
    </row>
    <row r="323" spans="3:11" ht="12.75" customHeight="1">
      <c r="C323" s="20">
        <v>318</v>
      </c>
      <c r="D323" s="341" t="s">
        <v>2031</v>
      </c>
      <c r="E323" s="64" t="s">
        <v>2032</v>
      </c>
      <c r="F323" s="341" t="s">
        <v>2033</v>
      </c>
      <c r="K323" s="142"/>
    </row>
    <row r="324" spans="3:11" ht="12.75" customHeight="1">
      <c r="C324" s="20">
        <v>319</v>
      </c>
      <c r="D324" s="341" t="s">
        <v>2048</v>
      </c>
      <c r="E324" s="64" t="s">
        <v>2049</v>
      </c>
      <c r="F324" s="341" t="s">
        <v>2036</v>
      </c>
      <c r="K324" s="142"/>
    </row>
    <row r="325" spans="3:11" ht="12.75" customHeight="1">
      <c r="C325" s="20">
        <v>320</v>
      </c>
      <c r="D325" s="341" t="s">
        <v>2040</v>
      </c>
      <c r="E325" s="64" t="s">
        <v>2041</v>
      </c>
      <c r="F325" s="341" t="s">
        <v>2042</v>
      </c>
      <c r="K325" s="142"/>
    </row>
    <row r="326" spans="3:11" ht="12.75" customHeight="1">
      <c r="C326" s="20">
        <v>321</v>
      </c>
      <c r="D326" s="158" t="s">
        <v>2029</v>
      </c>
      <c r="E326" s="8" t="s">
        <v>2050</v>
      </c>
      <c r="F326" s="158" t="s">
        <v>2029</v>
      </c>
      <c r="K326" s="142"/>
    </row>
    <row r="327" spans="3:11" ht="13.5" customHeight="1" thickBot="1">
      <c r="C327" s="20">
        <v>322</v>
      </c>
      <c r="D327" s="159" t="s">
        <v>116</v>
      </c>
      <c r="E327" s="342" t="s">
        <v>2043</v>
      </c>
      <c r="F327" s="159" t="s">
        <v>2044</v>
      </c>
      <c r="K327" s="142"/>
    </row>
    <row r="328" spans="3:11" ht="13.5" customHeight="1" thickTop="1">
      <c r="C328" s="20">
        <v>323</v>
      </c>
      <c r="D328" s="152" t="s">
        <v>118</v>
      </c>
      <c r="E328" s="64" t="s">
        <v>1958</v>
      </c>
      <c r="F328" s="158" t="s">
        <v>118</v>
      </c>
      <c r="K328" s="142"/>
    </row>
    <row r="329" spans="3:11" ht="15.75" customHeight="1">
      <c r="C329" s="20">
        <v>324</v>
      </c>
      <c r="D329" s="98" t="s">
        <v>2051</v>
      </c>
      <c r="E329" s="99" t="s">
        <v>2052</v>
      </c>
      <c r="F329" s="98" t="s">
        <v>2053</v>
      </c>
      <c r="K329" s="142"/>
    </row>
    <row r="330" spans="3:11" ht="12.75" customHeight="1">
      <c r="C330" s="20">
        <v>325</v>
      </c>
      <c r="D330" s="160" t="s">
        <v>684</v>
      </c>
      <c r="E330" s="64" t="s">
        <v>2054</v>
      </c>
      <c r="F330" s="160" t="s">
        <v>2055</v>
      </c>
      <c r="K330" s="142"/>
    </row>
    <row r="331" spans="3:11" ht="12.75" customHeight="1">
      <c r="C331" s="20">
        <v>326</v>
      </c>
      <c r="D331" s="160" t="s">
        <v>2056</v>
      </c>
      <c r="E331" s="343" t="s">
        <v>2057</v>
      </c>
      <c r="F331" s="160" t="s">
        <v>2058</v>
      </c>
      <c r="K331" s="142"/>
    </row>
    <row r="332" spans="3:11" ht="12.75" customHeight="1">
      <c r="C332" s="20">
        <v>327</v>
      </c>
      <c r="D332" s="160" t="s">
        <v>2059</v>
      </c>
      <c r="E332" s="343" t="s">
        <v>2060</v>
      </c>
      <c r="F332" s="160" t="s">
        <v>2061</v>
      </c>
      <c r="K332" s="142"/>
    </row>
    <row r="333" spans="3:11" ht="13.5" customHeight="1" thickBot="1">
      <c r="C333" s="20">
        <v>328</v>
      </c>
      <c r="D333" s="159" t="s">
        <v>2062</v>
      </c>
      <c r="E333" s="342" t="s">
        <v>2063</v>
      </c>
      <c r="F333" s="159" t="s">
        <v>2064</v>
      </c>
      <c r="K333" s="142"/>
    </row>
    <row r="334" spans="3:11" ht="13.5" customHeight="1" thickTop="1">
      <c r="C334" s="20">
        <v>329</v>
      </c>
      <c r="D334" s="152" t="s">
        <v>118</v>
      </c>
      <c r="E334" s="64" t="s">
        <v>1958</v>
      </c>
      <c r="F334" s="158" t="s">
        <v>118</v>
      </c>
      <c r="K334" s="142"/>
    </row>
    <row r="335" spans="3:11" ht="19.5" customHeight="1">
      <c r="C335" s="20">
        <v>330</v>
      </c>
      <c r="D335" s="95" t="s">
        <v>2065</v>
      </c>
      <c r="E335" s="62" t="s">
        <v>2066</v>
      </c>
      <c r="F335" s="95" t="s">
        <v>2067</v>
      </c>
      <c r="K335" s="142"/>
    </row>
    <row r="336" spans="3:11" ht="12.75" customHeight="1">
      <c r="C336" s="20">
        <v>331</v>
      </c>
      <c r="D336" s="160" t="s">
        <v>2068</v>
      </c>
      <c r="E336" s="64" t="s">
        <v>2069</v>
      </c>
      <c r="F336" s="160" t="s">
        <v>2070</v>
      </c>
      <c r="K336" s="142"/>
    </row>
    <row r="337" spans="3:11" ht="12.75" customHeight="1">
      <c r="C337" s="20">
        <v>332</v>
      </c>
      <c r="D337" s="160" t="s">
        <v>2071</v>
      </c>
      <c r="E337" s="343" t="s">
        <v>2072</v>
      </c>
      <c r="F337" s="160" t="s">
        <v>2073</v>
      </c>
      <c r="K337" s="142"/>
    </row>
    <row r="338" spans="3:11" ht="12.75" customHeight="1">
      <c r="C338" s="20">
        <v>333</v>
      </c>
      <c r="D338" s="344" t="s">
        <v>2074</v>
      </c>
      <c r="E338" s="64" t="s">
        <v>2075</v>
      </c>
      <c r="F338" s="344" t="s">
        <v>2076</v>
      </c>
      <c r="K338" s="142"/>
    </row>
    <row r="339" spans="3:11" ht="12.75" customHeight="1">
      <c r="C339" s="20">
        <v>334</v>
      </c>
      <c r="D339" s="160" t="s">
        <v>2077</v>
      </c>
      <c r="E339" s="64" t="s">
        <v>2078</v>
      </c>
      <c r="F339" s="160" t="s">
        <v>2079</v>
      </c>
      <c r="K339" s="142"/>
    </row>
    <row r="340" spans="3:11" ht="13.5" customHeight="1" thickBot="1">
      <c r="C340" s="20">
        <v>335</v>
      </c>
      <c r="D340" s="159" t="s">
        <v>1987</v>
      </c>
      <c r="E340" s="342" t="s">
        <v>1988</v>
      </c>
      <c r="F340" s="159" t="s">
        <v>1989</v>
      </c>
      <c r="K340" s="142"/>
    </row>
    <row r="341" spans="3:11" ht="13.5" customHeight="1" thickTop="1">
      <c r="C341" s="20">
        <v>336</v>
      </c>
      <c r="D341" s="152" t="s">
        <v>118</v>
      </c>
      <c r="E341" s="64" t="s">
        <v>1958</v>
      </c>
      <c r="F341" s="158" t="s">
        <v>118</v>
      </c>
      <c r="K341" s="142"/>
    </row>
    <row r="342" spans="3:11" ht="12.75" customHeight="1">
      <c r="C342" s="20">
        <v>337</v>
      </c>
      <c r="D342" s="68" t="s">
        <v>2080</v>
      </c>
      <c r="E342" s="68" t="s">
        <v>2081</v>
      </c>
      <c r="F342" s="68" t="s">
        <v>2082</v>
      </c>
      <c r="K342" s="142"/>
    </row>
    <row r="343" spans="3:11" ht="12.75" customHeight="1">
      <c r="C343" s="20">
        <v>338</v>
      </c>
      <c r="D343" s="8" t="s">
        <v>2083</v>
      </c>
      <c r="E343" s="8" t="s">
        <v>2084</v>
      </c>
      <c r="F343" s="345" t="s">
        <v>2085</v>
      </c>
      <c r="K343" s="142"/>
    </row>
    <row r="344" spans="3:11" ht="38.25">
      <c r="C344" s="20">
        <v>339</v>
      </c>
      <c r="D344" s="8" t="s">
        <v>2086</v>
      </c>
      <c r="E344" s="8" t="s">
        <v>2087</v>
      </c>
      <c r="F344" s="346" t="s">
        <v>2088</v>
      </c>
      <c r="K344" s="142"/>
    </row>
    <row r="345" spans="3:11" ht="12.75" customHeight="1">
      <c r="C345" s="20">
        <v>340</v>
      </c>
      <c r="D345" s="8" t="s">
        <v>2089</v>
      </c>
      <c r="E345" s="8" t="s">
        <v>2090</v>
      </c>
      <c r="F345" s="346" t="s">
        <v>2091</v>
      </c>
      <c r="K345" s="142"/>
    </row>
    <row r="346" spans="3:11" ht="12.75" customHeight="1">
      <c r="C346" s="20">
        <v>341</v>
      </c>
      <c r="D346" s="346"/>
      <c r="E346" s="347"/>
      <c r="F346" s="346"/>
      <c r="K346" s="142"/>
    </row>
    <row r="347" spans="3:11" ht="12.75" customHeight="1">
      <c r="C347" s="20">
        <v>342</v>
      </c>
      <c r="D347" s="8" t="s">
        <v>2092</v>
      </c>
      <c r="E347" s="8" t="s">
        <v>2093</v>
      </c>
      <c r="F347" s="346" t="s">
        <v>2094</v>
      </c>
      <c r="K347" s="142"/>
    </row>
    <row r="348" spans="3:11" ht="13.5" customHeight="1" thickBot="1">
      <c r="C348" s="20">
        <v>343</v>
      </c>
      <c r="D348" s="8" t="s">
        <v>2095</v>
      </c>
      <c r="E348" s="348" t="s">
        <v>2096</v>
      </c>
      <c r="F348" s="349" t="s">
        <v>2097</v>
      </c>
      <c r="K348" s="142"/>
    </row>
    <row r="349" spans="3:11" ht="13.5" customHeight="1" thickTop="1">
      <c r="C349" s="20">
        <v>344</v>
      </c>
      <c r="D349" s="152" t="s">
        <v>118</v>
      </c>
      <c r="E349" s="64" t="s">
        <v>1958</v>
      </c>
      <c r="F349" s="158" t="s">
        <v>118</v>
      </c>
      <c r="K349" s="142"/>
    </row>
    <row r="350" spans="3:11" ht="12.75" customHeight="1">
      <c r="C350" s="20">
        <v>345</v>
      </c>
      <c r="D350" s="68" t="s">
        <v>2098</v>
      </c>
      <c r="E350" s="68" t="s">
        <v>2099</v>
      </c>
      <c r="F350" s="68" t="s">
        <v>2100</v>
      </c>
      <c r="K350" s="142"/>
    </row>
    <row r="351" spans="3:11" ht="12.75" customHeight="1">
      <c r="C351" s="20">
        <v>346</v>
      </c>
      <c r="D351" s="45" t="s">
        <v>2101</v>
      </c>
      <c r="E351" s="7" t="s">
        <v>2102</v>
      </c>
      <c r="F351" s="45" t="s">
        <v>2103</v>
      </c>
      <c r="K351" s="142"/>
    </row>
    <row r="352" spans="3:11" ht="31.5" customHeight="1">
      <c r="C352" s="20">
        <v>347</v>
      </c>
      <c r="D352" s="341" t="s">
        <v>2104</v>
      </c>
      <c r="E352" s="315" t="s">
        <v>2105</v>
      </c>
      <c r="F352" s="341" t="s">
        <v>2106</v>
      </c>
      <c r="K352" s="142"/>
    </row>
    <row r="353" spans="3:11" ht="30" customHeight="1">
      <c r="C353" s="20">
        <v>348</v>
      </c>
      <c r="D353" s="160" t="s">
        <v>2107</v>
      </c>
      <c r="E353" s="8" t="s">
        <v>2108</v>
      </c>
      <c r="F353" s="341" t="s">
        <v>2109</v>
      </c>
      <c r="K353" s="142"/>
    </row>
    <row r="354" spans="3:11" ht="31.5" customHeight="1">
      <c r="C354" s="20">
        <v>349</v>
      </c>
      <c r="D354" s="160" t="s">
        <v>2110</v>
      </c>
      <c r="E354" s="8" t="s">
        <v>2111</v>
      </c>
      <c r="F354" s="341" t="s">
        <v>2112</v>
      </c>
      <c r="K354" s="142"/>
    </row>
    <row r="355" spans="3:11" ht="27.75" customHeight="1">
      <c r="C355" s="20">
        <v>350</v>
      </c>
      <c r="D355" s="160" t="s">
        <v>2113</v>
      </c>
      <c r="E355" s="8" t="s">
        <v>2114</v>
      </c>
      <c r="F355" s="341" t="s">
        <v>2115</v>
      </c>
      <c r="K355" s="142"/>
    </row>
    <row r="356" spans="3:11" ht="12.75" customHeight="1">
      <c r="C356" s="20">
        <v>351</v>
      </c>
      <c r="D356" s="160" t="s">
        <v>2116</v>
      </c>
      <c r="E356" s="8" t="s">
        <v>2117</v>
      </c>
      <c r="F356" s="341" t="s">
        <v>2118</v>
      </c>
      <c r="K356" s="142"/>
    </row>
    <row r="357" spans="3:11" ht="13.5" customHeight="1" thickBot="1">
      <c r="C357" s="20">
        <v>352</v>
      </c>
      <c r="D357" s="159" t="s">
        <v>2119</v>
      </c>
      <c r="E357" s="350" t="s">
        <v>2120</v>
      </c>
      <c r="F357" s="159" t="s">
        <v>2121</v>
      </c>
      <c r="K357" s="142"/>
    </row>
    <row r="358" spans="3:11" ht="13.5" customHeight="1" thickTop="1">
      <c r="C358" s="20">
        <v>353</v>
      </c>
      <c r="D358" s="152" t="s">
        <v>118</v>
      </c>
      <c r="E358" s="64" t="s">
        <v>1958</v>
      </c>
      <c r="F358" s="158" t="s">
        <v>118</v>
      </c>
      <c r="K358" s="142"/>
    </row>
    <row r="359" spans="3:11" ht="19.5" customHeight="1">
      <c r="C359" s="20">
        <v>354</v>
      </c>
      <c r="D359" s="100" t="s">
        <v>2122</v>
      </c>
      <c r="E359" s="101" t="s">
        <v>2123</v>
      </c>
      <c r="F359" s="100" t="s">
        <v>2124</v>
      </c>
      <c r="K359" s="142"/>
    </row>
    <row r="360" spans="3:11" ht="12.75" customHeight="1">
      <c r="C360" s="20">
        <v>355</v>
      </c>
      <c r="D360" s="147" t="s">
        <v>2125</v>
      </c>
      <c r="E360" s="59" t="s">
        <v>2126</v>
      </c>
      <c r="F360" s="219" t="s">
        <v>2127</v>
      </c>
      <c r="K360" s="142"/>
    </row>
    <row r="361" spans="3:11" ht="12.75" customHeight="1">
      <c r="C361" s="20">
        <v>356</v>
      </c>
      <c r="D361" s="147" t="s">
        <v>2128</v>
      </c>
      <c r="E361" s="59" t="s">
        <v>2129</v>
      </c>
      <c r="F361" s="219" t="s">
        <v>2130</v>
      </c>
      <c r="K361" s="142"/>
    </row>
    <row r="362" spans="3:11" ht="12.75" customHeight="1">
      <c r="C362" s="20">
        <v>357</v>
      </c>
      <c r="D362" s="147" t="s">
        <v>2131</v>
      </c>
      <c r="E362" s="59" t="s">
        <v>2132</v>
      </c>
      <c r="F362" s="219" t="s">
        <v>2133</v>
      </c>
      <c r="K362" s="142"/>
    </row>
    <row r="363" spans="3:11" ht="25.5">
      <c r="C363" s="20">
        <v>358</v>
      </c>
      <c r="D363" s="147" t="s">
        <v>2134</v>
      </c>
      <c r="E363" s="59" t="s">
        <v>2135</v>
      </c>
      <c r="F363" s="219" t="s">
        <v>2136</v>
      </c>
      <c r="K363" s="142"/>
    </row>
    <row r="364" spans="3:11" ht="12.75" customHeight="1">
      <c r="C364" s="20">
        <v>359</v>
      </c>
      <c r="D364" s="147" t="s">
        <v>2137</v>
      </c>
      <c r="E364" s="59" t="s">
        <v>2138</v>
      </c>
      <c r="F364" s="219" t="s">
        <v>2139</v>
      </c>
      <c r="K364" s="142"/>
    </row>
    <row r="365" spans="3:11" ht="13.5" customHeight="1" thickBot="1">
      <c r="C365" s="20">
        <v>360</v>
      </c>
      <c r="D365" s="351" t="s">
        <v>2140</v>
      </c>
      <c r="E365" s="352" t="s">
        <v>2141</v>
      </c>
      <c r="F365" s="219" t="s">
        <v>2142</v>
      </c>
      <c r="K365" s="142"/>
    </row>
    <row r="366" spans="3:11" ht="13.5" thickTop="1">
      <c r="C366" s="20">
        <v>361</v>
      </c>
      <c r="D366" s="161" t="s">
        <v>118</v>
      </c>
      <c r="E366" s="353" t="s">
        <v>1958</v>
      </c>
      <c r="F366" s="230" t="s">
        <v>118</v>
      </c>
      <c r="K366" s="142"/>
    </row>
    <row r="367" spans="3:11" ht="19.5" customHeight="1">
      <c r="C367" s="20">
        <v>362</v>
      </c>
      <c r="D367" s="95" t="s">
        <v>2143</v>
      </c>
      <c r="E367" s="62" t="s">
        <v>2144</v>
      </c>
      <c r="F367" s="95" t="s">
        <v>2145</v>
      </c>
      <c r="K367" s="142"/>
    </row>
    <row r="368" spans="3:11" ht="12.75" customHeight="1">
      <c r="C368" s="20">
        <v>363</v>
      </c>
      <c r="D368" s="160" t="s">
        <v>2146</v>
      </c>
      <c r="E368" s="8" t="s">
        <v>2147</v>
      </c>
      <c r="F368" s="160" t="s">
        <v>2148</v>
      </c>
      <c r="K368" s="142"/>
    </row>
    <row r="369" spans="3:11" ht="12.75" customHeight="1">
      <c r="C369" s="20">
        <v>364</v>
      </c>
      <c r="D369" s="344" t="s">
        <v>2149</v>
      </c>
      <c r="E369" s="8" t="s">
        <v>2150</v>
      </c>
      <c r="F369" s="344" t="s">
        <v>2151</v>
      </c>
      <c r="K369" s="142"/>
    </row>
    <row r="370" spans="3:11" ht="13.5" customHeight="1" thickBot="1">
      <c r="C370" s="20">
        <v>365</v>
      </c>
      <c r="D370" s="349" t="s">
        <v>2152</v>
      </c>
      <c r="E370" s="8" t="s">
        <v>2153</v>
      </c>
      <c r="F370" s="349" t="s">
        <v>2154</v>
      </c>
      <c r="K370" s="142"/>
    </row>
    <row r="371" spans="3:11" ht="13.5" customHeight="1" thickTop="1">
      <c r="C371" s="20">
        <v>366</v>
      </c>
      <c r="D371" s="152" t="s">
        <v>118</v>
      </c>
      <c r="E371" s="64" t="s">
        <v>1958</v>
      </c>
      <c r="F371" s="158" t="s">
        <v>118</v>
      </c>
      <c r="K371" s="142"/>
    </row>
    <row r="372" spans="3:11" ht="19.5" customHeight="1">
      <c r="C372" s="20">
        <v>367</v>
      </c>
      <c r="D372" s="95" t="s">
        <v>2155</v>
      </c>
      <c r="E372" s="62" t="s">
        <v>2156</v>
      </c>
      <c r="F372" s="95" t="s">
        <v>2157</v>
      </c>
      <c r="K372" s="142"/>
    </row>
    <row r="373" spans="3:11" ht="12.75" customHeight="1">
      <c r="C373" s="20">
        <v>368</v>
      </c>
      <c r="D373" s="157" t="s">
        <v>118</v>
      </c>
      <c r="E373" s="64" t="s">
        <v>1958</v>
      </c>
      <c r="F373" s="229" t="s">
        <v>118</v>
      </c>
      <c r="K373" s="142"/>
    </row>
    <row r="374" spans="3:11" ht="13.5" thickBot="1">
      <c r="C374" s="20">
        <v>369</v>
      </c>
      <c r="D374" s="143"/>
      <c r="E374" s="144"/>
      <c r="F374" s="143"/>
      <c r="H374" s="144"/>
      <c r="I374" s="144"/>
      <c r="J374" s="144"/>
      <c r="K374" s="145"/>
    </row>
    <row r="375" spans="3:11" ht="39">
      <c r="C375" s="20">
        <v>370</v>
      </c>
      <c r="D375" s="102" t="s">
        <v>2158</v>
      </c>
      <c r="E375" s="103" t="s">
        <v>2159</v>
      </c>
      <c r="F375" s="95" t="s">
        <v>2160</v>
      </c>
      <c r="K375" s="142"/>
    </row>
    <row r="376" spans="3:11">
      <c r="C376" s="20">
        <v>371</v>
      </c>
      <c r="D376" s="147"/>
      <c r="E376" s="59"/>
      <c r="K376" s="142"/>
    </row>
    <row r="377" spans="3:11">
      <c r="C377" s="20">
        <v>372</v>
      </c>
      <c r="D377" s="39" t="s">
        <v>1876</v>
      </c>
      <c r="E377" s="1" t="s">
        <v>1877</v>
      </c>
      <c r="F377" s="222" t="s">
        <v>1878</v>
      </c>
      <c r="K377" s="142"/>
    </row>
    <row r="378" spans="3:11">
      <c r="C378" s="20">
        <v>373</v>
      </c>
      <c r="D378" s="77" t="s">
        <v>2161</v>
      </c>
      <c r="E378" s="78" t="s">
        <v>2162</v>
      </c>
      <c r="F378" s="86" t="s">
        <v>2163</v>
      </c>
      <c r="K378" s="142"/>
    </row>
    <row r="379" spans="3:11">
      <c r="C379" s="20">
        <v>374</v>
      </c>
      <c r="D379" s="79" t="s">
        <v>1880</v>
      </c>
      <c r="E379" s="80" t="s">
        <v>1881</v>
      </c>
      <c r="F379" s="133" t="s">
        <v>1882</v>
      </c>
      <c r="K379" s="142"/>
    </row>
    <row r="380" spans="3:11">
      <c r="C380" s="20">
        <v>375</v>
      </c>
      <c r="D380" s="79" t="s">
        <v>2164</v>
      </c>
      <c r="E380" s="80" t="s">
        <v>2165</v>
      </c>
      <c r="F380" s="133" t="s">
        <v>1885</v>
      </c>
      <c r="K380" s="142"/>
    </row>
    <row r="381" spans="3:11">
      <c r="C381" s="20">
        <v>376</v>
      </c>
      <c r="D381" s="79"/>
      <c r="E381" s="80"/>
      <c r="F381" s="133"/>
      <c r="K381" s="142"/>
    </row>
    <row r="382" spans="3:11">
      <c r="C382" s="20">
        <v>377</v>
      </c>
      <c r="D382" s="79" t="s">
        <v>1886</v>
      </c>
      <c r="E382" s="80" t="s">
        <v>2166</v>
      </c>
      <c r="F382" s="133" t="s">
        <v>1888</v>
      </c>
      <c r="K382" s="142"/>
    </row>
    <row r="383" spans="3:11">
      <c r="C383" s="20">
        <v>378</v>
      </c>
      <c r="D383" s="79" t="s">
        <v>1889</v>
      </c>
      <c r="E383" s="80" t="s">
        <v>2167</v>
      </c>
      <c r="F383" s="133" t="s">
        <v>1891</v>
      </c>
      <c r="K383" s="142"/>
    </row>
    <row r="384" spans="3:11">
      <c r="C384" s="20">
        <v>379</v>
      </c>
      <c r="D384" s="79" t="s">
        <v>1892</v>
      </c>
      <c r="E384" s="80" t="s">
        <v>1893</v>
      </c>
      <c r="F384" s="133" t="s">
        <v>1894</v>
      </c>
      <c r="K384" s="142"/>
    </row>
    <row r="385" spans="3:11">
      <c r="C385" s="20">
        <v>380</v>
      </c>
      <c r="D385" s="79" t="s">
        <v>1895</v>
      </c>
      <c r="E385" s="80" t="s">
        <v>1896</v>
      </c>
      <c r="F385" s="133" t="s">
        <v>1897</v>
      </c>
      <c r="K385" s="142"/>
    </row>
    <row r="386" spans="3:11">
      <c r="C386" s="20">
        <v>381</v>
      </c>
      <c r="D386" s="79" t="s">
        <v>1898</v>
      </c>
      <c r="E386" s="80" t="s">
        <v>1899</v>
      </c>
      <c r="F386" s="133" t="s">
        <v>1900</v>
      </c>
      <c r="K386" s="142"/>
    </row>
    <row r="387" spans="3:11">
      <c r="C387" s="20">
        <v>382</v>
      </c>
      <c r="D387" s="79"/>
      <c r="E387" s="80"/>
      <c r="F387" s="133"/>
      <c r="K387" s="142"/>
    </row>
    <row r="388" spans="3:11">
      <c r="C388" s="20">
        <v>383</v>
      </c>
      <c r="D388" s="79" t="s">
        <v>2168</v>
      </c>
      <c r="E388" s="80" t="s">
        <v>2169</v>
      </c>
      <c r="F388" s="133" t="s">
        <v>2170</v>
      </c>
      <c r="K388" s="142"/>
    </row>
    <row r="389" spans="3:11" ht="25.5">
      <c r="C389" s="20">
        <v>384</v>
      </c>
      <c r="D389" s="79" t="s">
        <v>2171</v>
      </c>
      <c r="E389" s="306" t="s">
        <v>2172</v>
      </c>
      <c r="F389" s="133" t="s">
        <v>2173</v>
      </c>
      <c r="K389" s="142"/>
    </row>
    <row r="390" spans="3:11">
      <c r="C390" s="20">
        <v>385</v>
      </c>
      <c r="D390" s="79" t="s">
        <v>2174</v>
      </c>
      <c r="E390" s="80" t="s">
        <v>2175</v>
      </c>
      <c r="F390" s="133" t="s">
        <v>1906</v>
      </c>
      <c r="K390" s="142"/>
    </row>
    <row r="391" spans="3:11">
      <c r="C391" s="20">
        <v>386</v>
      </c>
      <c r="D391" s="79"/>
      <c r="E391" s="104"/>
      <c r="F391" s="133"/>
      <c r="K391" s="142"/>
    </row>
    <row r="392" spans="3:11" ht="25.5">
      <c r="C392" s="20">
        <v>387</v>
      </c>
      <c r="D392" s="41" t="s">
        <v>1907</v>
      </c>
      <c r="E392" s="25" t="s">
        <v>2176</v>
      </c>
      <c r="F392" s="133" t="s">
        <v>1909</v>
      </c>
      <c r="K392" s="142"/>
    </row>
    <row r="393" spans="3:11" ht="25.5">
      <c r="C393" s="20">
        <v>388</v>
      </c>
      <c r="D393" s="79" t="s">
        <v>1910</v>
      </c>
      <c r="E393" s="104" t="s">
        <v>1911</v>
      </c>
      <c r="F393" s="133" t="s">
        <v>1912</v>
      </c>
      <c r="K393" s="142"/>
    </row>
    <row r="394" spans="3:11" ht="38.25">
      <c r="C394" s="20">
        <v>389</v>
      </c>
      <c r="D394" s="133" t="s">
        <v>1913</v>
      </c>
      <c r="E394" s="260" t="s">
        <v>2177</v>
      </c>
      <c r="F394" s="133" t="s">
        <v>1915</v>
      </c>
      <c r="K394" s="142"/>
    </row>
    <row r="395" spans="3:11">
      <c r="C395" s="20">
        <v>390</v>
      </c>
      <c r="D395" s="148"/>
      <c r="E395" s="260"/>
      <c r="F395" s="133"/>
      <c r="K395" s="142"/>
    </row>
    <row r="396" spans="3:11" ht="25.5">
      <c r="C396" s="20">
        <v>391</v>
      </c>
      <c r="D396" s="41" t="s">
        <v>2178</v>
      </c>
      <c r="E396" s="25" t="s">
        <v>1919</v>
      </c>
      <c r="F396" s="38" t="s">
        <v>1920</v>
      </c>
      <c r="K396" s="142"/>
    </row>
    <row r="397" spans="3:11">
      <c r="C397" s="20">
        <v>392</v>
      </c>
      <c r="D397" s="330" t="s">
        <v>1921</v>
      </c>
      <c r="E397" s="104" t="s">
        <v>1922</v>
      </c>
      <c r="F397" s="32" t="s">
        <v>1923</v>
      </c>
      <c r="K397" s="142"/>
    </row>
    <row r="398" spans="3:11" ht="38.25">
      <c r="C398" s="20">
        <v>393</v>
      </c>
      <c r="D398" s="133" t="s">
        <v>1913</v>
      </c>
      <c r="E398" s="260" t="s">
        <v>1924</v>
      </c>
      <c r="F398" s="133" t="s">
        <v>1915</v>
      </c>
      <c r="K398" s="142"/>
    </row>
    <row r="399" spans="3:11" ht="51">
      <c r="C399" s="20">
        <v>394</v>
      </c>
      <c r="D399" s="133" t="s">
        <v>1925</v>
      </c>
      <c r="E399" s="260" t="s">
        <v>1926</v>
      </c>
      <c r="F399" s="133" t="s">
        <v>1927</v>
      </c>
      <c r="K399" s="142"/>
    </row>
    <row r="400" spans="3:11">
      <c r="C400" s="20">
        <v>395</v>
      </c>
      <c r="D400" s="105"/>
      <c r="E400" s="106"/>
      <c r="K400" s="142"/>
    </row>
    <row r="401" spans="3:11">
      <c r="C401" s="20">
        <v>396</v>
      </c>
      <c r="D401" s="40" t="s">
        <v>1928</v>
      </c>
      <c r="E401" s="16" t="s">
        <v>1929</v>
      </c>
      <c r="F401" s="223" t="s">
        <v>1930</v>
      </c>
      <c r="K401" s="142"/>
    </row>
    <row r="402" spans="3:11" ht="51">
      <c r="C402" s="20">
        <v>397</v>
      </c>
      <c r="D402" s="149" t="s">
        <v>1934</v>
      </c>
      <c r="E402" s="331" t="s">
        <v>1935</v>
      </c>
      <c r="F402" s="149" t="s">
        <v>2179</v>
      </c>
      <c r="K402" s="142"/>
    </row>
    <row r="403" spans="3:11" ht="89.25">
      <c r="C403" s="20">
        <v>398</v>
      </c>
      <c r="D403" s="149" t="s">
        <v>2180</v>
      </c>
      <c r="E403" s="317" t="s">
        <v>2181</v>
      </c>
      <c r="F403" s="149" t="s">
        <v>2182</v>
      </c>
      <c r="K403" s="142"/>
    </row>
    <row r="404" spans="3:11" ht="38.25">
      <c r="C404" s="20">
        <v>399</v>
      </c>
      <c r="D404" s="149" t="s">
        <v>2183</v>
      </c>
      <c r="E404" s="331" t="s">
        <v>2184</v>
      </c>
      <c r="F404" s="149" t="s">
        <v>2185</v>
      </c>
      <c r="K404" s="142"/>
    </row>
    <row r="405" spans="3:11" ht="38.25">
      <c r="C405" s="20">
        <v>400</v>
      </c>
      <c r="D405" s="149" t="s">
        <v>2186</v>
      </c>
      <c r="E405" s="331" t="s">
        <v>2187</v>
      </c>
      <c r="F405" s="354" t="s">
        <v>1945</v>
      </c>
      <c r="K405" s="142"/>
    </row>
    <row r="406" spans="3:11" ht="51">
      <c r="C406" s="20">
        <v>401</v>
      </c>
      <c r="D406" s="354" t="s">
        <v>1946</v>
      </c>
      <c r="E406" s="333" t="s">
        <v>1947</v>
      </c>
      <c r="F406" s="332" t="s">
        <v>1948</v>
      </c>
      <c r="K406" s="142"/>
    </row>
    <row r="407" spans="3:11" ht="38.25">
      <c r="C407" s="20">
        <v>402</v>
      </c>
      <c r="D407" s="332" t="s">
        <v>2188</v>
      </c>
      <c r="E407" s="333" t="s">
        <v>2189</v>
      </c>
      <c r="F407" s="332" t="s">
        <v>2190</v>
      </c>
      <c r="K407" s="142"/>
    </row>
    <row r="408" spans="3:11" ht="102">
      <c r="C408" s="20">
        <v>403</v>
      </c>
      <c r="D408" s="332" t="s">
        <v>2191</v>
      </c>
      <c r="E408" s="355" t="s">
        <v>2192</v>
      </c>
      <c r="F408" s="332" t="s">
        <v>2193</v>
      </c>
      <c r="K408" s="142"/>
    </row>
    <row r="409" spans="3:11">
      <c r="C409" s="20">
        <v>404</v>
      </c>
      <c r="D409" s="146"/>
      <c r="E409" s="64"/>
      <c r="K409" s="142"/>
    </row>
    <row r="410" spans="3:11" ht="19.5">
      <c r="C410" s="20">
        <v>405</v>
      </c>
      <c r="D410" s="107" t="s">
        <v>2194</v>
      </c>
      <c r="E410" s="63" t="s">
        <v>2195</v>
      </c>
      <c r="F410" s="107" t="s">
        <v>2196</v>
      </c>
      <c r="K410" s="142"/>
    </row>
    <row r="411" spans="3:11">
      <c r="C411" s="20">
        <v>406</v>
      </c>
      <c r="D411" s="46" t="s">
        <v>2197</v>
      </c>
      <c r="E411" s="2" t="s">
        <v>1958</v>
      </c>
      <c r="F411" s="46" t="s">
        <v>2198</v>
      </c>
      <c r="K411" s="142"/>
    </row>
    <row r="412" spans="3:11">
      <c r="C412" s="20">
        <v>407</v>
      </c>
      <c r="D412" s="147" t="s">
        <v>118</v>
      </c>
      <c r="E412" s="59" t="s">
        <v>1958</v>
      </c>
      <c r="F412" s="219" t="s">
        <v>118</v>
      </c>
      <c r="K412" s="142"/>
    </row>
    <row r="413" spans="3:11" ht="19.5">
      <c r="C413" s="20">
        <v>408</v>
      </c>
      <c r="D413" s="107" t="s">
        <v>2199</v>
      </c>
      <c r="E413" s="63" t="s">
        <v>2200</v>
      </c>
      <c r="F413" s="107" t="s">
        <v>2201</v>
      </c>
      <c r="K413" s="142"/>
    </row>
    <row r="414" spans="3:11" ht="12.75" customHeight="1">
      <c r="C414" s="20">
        <v>409</v>
      </c>
      <c r="D414" s="46" t="s">
        <v>2202</v>
      </c>
      <c r="E414" s="2" t="s">
        <v>2203</v>
      </c>
      <c r="F414" s="46" t="s">
        <v>2204</v>
      </c>
      <c r="K414" s="142"/>
    </row>
    <row r="415" spans="3:11" ht="12.75" customHeight="1">
      <c r="C415" s="20">
        <v>410</v>
      </c>
      <c r="D415" s="147" t="s">
        <v>118</v>
      </c>
      <c r="E415" s="64" t="s">
        <v>1958</v>
      </c>
      <c r="F415" s="219" t="s">
        <v>118</v>
      </c>
      <c r="K415" s="142"/>
    </row>
    <row r="416" spans="3:11" ht="19.5">
      <c r="C416" s="20">
        <v>411</v>
      </c>
      <c r="D416" s="107" t="s">
        <v>2205</v>
      </c>
      <c r="E416" s="63" t="s">
        <v>2206</v>
      </c>
      <c r="F416" s="107" t="s">
        <v>2207</v>
      </c>
      <c r="K416" s="142"/>
    </row>
    <row r="417" spans="3:11" ht="12.75" customHeight="1">
      <c r="C417" s="20">
        <v>412</v>
      </c>
      <c r="D417" s="46" t="s">
        <v>2208</v>
      </c>
      <c r="E417" s="2" t="s">
        <v>2209</v>
      </c>
      <c r="F417" s="46" t="s">
        <v>2210</v>
      </c>
      <c r="K417" s="142"/>
    </row>
    <row r="418" spans="3:11" ht="12.75" customHeight="1">
      <c r="C418" s="20">
        <v>413</v>
      </c>
      <c r="D418" s="147" t="s">
        <v>118</v>
      </c>
      <c r="E418" s="64" t="s">
        <v>1958</v>
      </c>
      <c r="F418" s="219" t="s">
        <v>118</v>
      </c>
      <c r="K418" s="142"/>
    </row>
    <row r="419" spans="3:11" ht="19.5">
      <c r="C419" s="20">
        <v>414</v>
      </c>
      <c r="D419" s="107" t="s">
        <v>2211</v>
      </c>
      <c r="E419" s="63" t="s">
        <v>2212</v>
      </c>
      <c r="F419" s="107" t="s">
        <v>2213</v>
      </c>
      <c r="K419" s="142"/>
    </row>
    <row r="420" spans="3:11" ht="12.75" customHeight="1">
      <c r="C420" s="20">
        <v>415</v>
      </c>
      <c r="D420" s="46" t="s">
        <v>2214</v>
      </c>
      <c r="E420" s="2" t="s">
        <v>2215</v>
      </c>
      <c r="F420" s="46" t="s">
        <v>2216</v>
      </c>
      <c r="K420" s="142"/>
    </row>
    <row r="421" spans="3:11" ht="12.75" customHeight="1">
      <c r="C421" s="20">
        <v>416</v>
      </c>
      <c r="D421" s="147" t="s">
        <v>118</v>
      </c>
      <c r="E421" s="64" t="s">
        <v>1958</v>
      </c>
      <c r="F421" s="219" t="s">
        <v>118</v>
      </c>
      <c r="K421" s="142"/>
    </row>
    <row r="422" spans="3:11" ht="19.5">
      <c r="C422" s="20">
        <v>417</v>
      </c>
      <c r="D422" s="107" t="s">
        <v>2217</v>
      </c>
      <c r="E422" s="63" t="s">
        <v>2218</v>
      </c>
      <c r="F422" s="107" t="s">
        <v>2219</v>
      </c>
      <c r="K422" s="142"/>
    </row>
    <row r="423" spans="3:11" ht="12.75" customHeight="1">
      <c r="C423" s="20">
        <v>418</v>
      </c>
      <c r="D423" s="46" t="s">
        <v>2220</v>
      </c>
      <c r="E423" s="2" t="s">
        <v>2221</v>
      </c>
      <c r="F423" s="46" t="s">
        <v>2222</v>
      </c>
      <c r="K423" s="142"/>
    </row>
    <row r="424" spans="3:11" ht="12.75" customHeight="1">
      <c r="C424" s="20">
        <v>419</v>
      </c>
      <c r="D424" s="147" t="s">
        <v>118</v>
      </c>
      <c r="E424" s="64" t="s">
        <v>1958</v>
      </c>
      <c r="F424" s="219" t="s">
        <v>118</v>
      </c>
      <c r="K424" s="142"/>
    </row>
    <row r="425" spans="3:11" ht="19.5">
      <c r="C425" s="20">
        <v>420</v>
      </c>
      <c r="D425" s="107" t="s">
        <v>2223</v>
      </c>
      <c r="E425" s="63" t="s">
        <v>2224</v>
      </c>
      <c r="F425" s="107" t="s">
        <v>2225</v>
      </c>
      <c r="K425" s="142"/>
    </row>
    <row r="426" spans="3:11" ht="12.75" customHeight="1">
      <c r="C426" s="20">
        <v>421</v>
      </c>
      <c r="D426" s="46" t="s">
        <v>2226</v>
      </c>
      <c r="E426" s="2" t="s">
        <v>2227</v>
      </c>
      <c r="F426" s="46" t="s">
        <v>2228</v>
      </c>
      <c r="K426" s="142"/>
    </row>
    <row r="427" spans="3:11" ht="12.75" customHeight="1">
      <c r="C427" s="20">
        <v>422</v>
      </c>
      <c r="D427" s="147" t="s">
        <v>118</v>
      </c>
      <c r="E427" s="64" t="s">
        <v>1958</v>
      </c>
      <c r="F427" s="219" t="s">
        <v>118</v>
      </c>
      <c r="K427" s="142"/>
    </row>
    <row r="428" spans="3:11" ht="19.5">
      <c r="C428" s="20">
        <v>423</v>
      </c>
      <c r="D428" s="107" t="s">
        <v>2229</v>
      </c>
      <c r="E428" s="63" t="s">
        <v>2230</v>
      </c>
      <c r="F428" s="107" t="s">
        <v>2231</v>
      </c>
      <c r="K428" s="142"/>
    </row>
    <row r="429" spans="3:11" ht="12.75" customHeight="1">
      <c r="C429" s="20">
        <v>424</v>
      </c>
      <c r="D429" s="46" t="s">
        <v>2232</v>
      </c>
      <c r="E429" s="2" t="s">
        <v>2233</v>
      </c>
      <c r="F429" s="46" t="s">
        <v>2234</v>
      </c>
      <c r="K429" s="142"/>
    </row>
    <row r="430" spans="3:11" ht="12.75" customHeight="1">
      <c r="C430" s="20">
        <v>425</v>
      </c>
      <c r="D430" s="147" t="s">
        <v>118</v>
      </c>
      <c r="E430" s="64" t="s">
        <v>1958</v>
      </c>
      <c r="F430" s="219" t="s">
        <v>118</v>
      </c>
      <c r="K430" s="142"/>
    </row>
    <row r="431" spans="3:11" ht="58.5">
      <c r="C431" s="20">
        <v>426</v>
      </c>
      <c r="D431" s="49" t="s">
        <v>2235</v>
      </c>
      <c r="E431" s="95" t="s">
        <v>2236</v>
      </c>
      <c r="F431" s="95" t="s">
        <v>2237</v>
      </c>
      <c r="K431" s="142"/>
    </row>
    <row r="432" spans="3:11" ht="12.75" customHeight="1">
      <c r="C432" s="20">
        <v>427</v>
      </c>
      <c r="D432" s="49" t="s">
        <v>2238</v>
      </c>
      <c r="E432" s="95" t="s">
        <v>2239</v>
      </c>
      <c r="F432" s="95" t="s">
        <v>2240</v>
      </c>
      <c r="K432" s="142"/>
    </row>
    <row r="433" spans="3:11" ht="12.75" customHeight="1">
      <c r="C433" s="20">
        <v>428</v>
      </c>
      <c r="D433" s="147" t="s">
        <v>2241</v>
      </c>
      <c r="E433" s="56" t="s">
        <v>2242</v>
      </c>
      <c r="F433" s="224" t="s">
        <v>2243</v>
      </c>
      <c r="K433" s="142"/>
    </row>
    <row r="434" spans="3:11" ht="19.5">
      <c r="C434" s="20">
        <v>429</v>
      </c>
      <c r="D434" s="107" t="s">
        <v>2244</v>
      </c>
      <c r="E434" s="63" t="s">
        <v>2245</v>
      </c>
      <c r="F434" s="107" t="s">
        <v>2246</v>
      </c>
      <c r="K434" s="142"/>
    </row>
    <row r="435" spans="3:11" ht="12.75" customHeight="1">
      <c r="C435" s="20">
        <v>430</v>
      </c>
      <c r="D435" s="47" t="s">
        <v>2247</v>
      </c>
      <c r="E435" s="29" t="s">
        <v>2248</v>
      </c>
      <c r="F435" s="231" t="s">
        <v>2249</v>
      </c>
      <c r="K435" s="142"/>
    </row>
    <row r="436" spans="3:11" ht="12.75" customHeight="1">
      <c r="C436" s="20">
        <v>431</v>
      </c>
      <c r="D436" s="162" t="s">
        <v>2250</v>
      </c>
      <c r="E436" s="356" t="s">
        <v>2251</v>
      </c>
      <c r="F436" s="160" t="s">
        <v>2252</v>
      </c>
      <c r="K436" s="142"/>
    </row>
    <row r="437" spans="3:11" ht="12.75" customHeight="1">
      <c r="C437" s="20">
        <v>432</v>
      </c>
      <c r="D437" s="163" t="s">
        <v>2253</v>
      </c>
      <c r="E437" s="318" t="s">
        <v>2254</v>
      </c>
      <c r="F437" s="232" t="s">
        <v>2255</v>
      </c>
      <c r="K437" s="142"/>
    </row>
    <row r="438" spans="3:11" ht="12.75" customHeight="1">
      <c r="C438" s="20">
        <v>433</v>
      </c>
      <c r="D438" s="47" t="s">
        <v>2256</v>
      </c>
      <c r="E438" s="29" t="s">
        <v>2257</v>
      </c>
      <c r="F438" s="231" t="s">
        <v>2258</v>
      </c>
      <c r="K438" s="142"/>
    </row>
    <row r="439" spans="3:11" ht="12.75" customHeight="1">
      <c r="C439" s="20">
        <v>434</v>
      </c>
      <c r="D439" s="164" t="s">
        <v>2259</v>
      </c>
      <c r="E439" s="357" t="s">
        <v>2260</v>
      </c>
      <c r="F439" s="232" t="s">
        <v>2261</v>
      </c>
      <c r="K439" s="142"/>
    </row>
    <row r="440" spans="3:11" ht="12.75" customHeight="1">
      <c r="C440" s="20">
        <v>435</v>
      </c>
      <c r="D440" s="164" t="s">
        <v>2262</v>
      </c>
      <c r="E440" s="357" t="s">
        <v>2263</v>
      </c>
      <c r="F440" s="232" t="s">
        <v>2264</v>
      </c>
      <c r="K440" s="142"/>
    </row>
    <row r="441" spans="3:11" ht="12.75" customHeight="1">
      <c r="C441" s="20">
        <v>436</v>
      </c>
      <c r="D441" s="39" t="s">
        <v>2265</v>
      </c>
      <c r="E441" s="1" t="s">
        <v>2266</v>
      </c>
      <c r="F441" s="222" t="s">
        <v>2265</v>
      </c>
      <c r="K441" s="142"/>
    </row>
    <row r="442" spans="3:11" ht="12.75" customHeight="1">
      <c r="C442" s="20">
        <v>437</v>
      </c>
      <c r="D442" s="164" t="s">
        <v>2267</v>
      </c>
      <c r="E442" s="357" t="s">
        <v>2268</v>
      </c>
      <c r="F442" s="232" t="s">
        <v>2269</v>
      </c>
      <c r="K442" s="142"/>
    </row>
    <row r="443" spans="3:11" ht="12.75" customHeight="1">
      <c r="C443" s="20">
        <v>438</v>
      </c>
      <c r="D443" s="164" t="s">
        <v>2270</v>
      </c>
      <c r="E443" s="357" t="s">
        <v>2271</v>
      </c>
      <c r="F443" s="232" t="s">
        <v>2272</v>
      </c>
      <c r="K443" s="142"/>
    </row>
    <row r="444" spans="3:11" ht="12.75" customHeight="1">
      <c r="C444" s="20">
        <v>439</v>
      </c>
      <c r="D444" s="47" t="s">
        <v>2273</v>
      </c>
      <c r="E444" s="29" t="s">
        <v>2274</v>
      </c>
      <c r="F444" s="231" t="s">
        <v>2273</v>
      </c>
      <c r="K444" s="142"/>
    </row>
    <row r="445" spans="3:11" ht="12.75" customHeight="1">
      <c r="C445" s="20">
        <v>440</v>
      </c>
      <c r="D445" s="47" t="s">
        <v>2275</v>
      </c>
      <c r="E445" s="29" t="s">
        <v>2276</v>
      </c>
      <c r="F445" s="231" t="s">
        <v>2277</v>
      </c>
      <c r="K445" s="142"/>
    </row>
    <row r="446" spans="3:11" ht="12.75" customHeight="1">
      <c r="C446" s="20">
        <v>441</v>
      </c>
      <c r="D446" s="163" t="s">
        <v>2278</v>
      </c>
      <c r="E446" s="318" t="s">
        <v>2279</v>
      </c>
      <c r="F446" s="232" t="s">
        <v>2280</v>
      </c>
      <c r="K446" s="142"/>
    </row>
    <row r="447" spans="3:11" ht="12.75" customHeight="1">
      <c r="C447" s="20">
        <v>442</v>
      </c>
      <c r="D447" s="163" t="s">
        <v>2281</v>
      </c>
      <c r="E447" s="318" t="s">
        <v>2282</v>
      </c>
      <c r="F447" s="232" t="s">
        <v>2283</v>
      </c>
      <c r="K447" s="142"/>
    </row>
    <row r="448" spans="3:11" ht="12.75" customHeight="1">
      <c r="C448" s="20">
        <v>443</v>
      </c>
      <c r="D448" s="39" t="s">
        <v>2284</v>
      </c>
      <c r="E448" s="1" t="s">
        <v>2285</v>
      </c>
      <c r="F448" s="222" t="s">
        <v>2286</v>
      </c>
      <c r="K448" s="142"/>
    </row>
    <row r="449" spans="3:11" ht="12.75" customHeight="1">
      <c r="C449" s="20">
        <v>444</v>
      </c>
      <c r="D449" s="39" t="s">
        <v>2287</v>
      </c>
      <c r="E449" s="1" t="s">
        <v>2288</v>
      </c>
      <c r="F449" s="222" t="s">
        <v>2289</v>
      </c>
      <c r="K449" s="142"/>
    </row>
    <row r="450" spans="3:11" ht="13.5" customHeight="1" thickBot="1">
      <c r="C450" s="20">
        <v>445</v>
      </c>
      <c r="D450" s="48" t="s">
        <v>2290</v>
      </c>
      <c r="E450" s="48" t="s">
        <v>2291</v>
      </c>
      <c r="F450" s="233" t="s">
        <v>2292</v>
      </c>
      <c r="K450" s="142"/>
    </row>
    <row r="451" spans="3:11" ht="13.5" customHeight="1" thickTop="1">
      <c r="C451" s="20">
        <v>446</v>
      </c>
      <c r="D451" s="165" t="s">
        <v>118</v>
      </c>
      <c r="E451" s="184" t="s">
        <v>1958</v>
      </c>
      <c r="F451" s="234" t="s">
        <v>118</v>
      </c>
      <c r="K451" s="142"/>
    </row>
    <row r="452" spans="3:11" ht="39">
      <c r="C452" s="20">
        <v>447</v>
      </c>
      <c r="D452" s="100" t="s">
        <v>2293</v>
      </c>
      <c r="E452" s="101" t="s">
        <v>2294</v>
      </c>
      <c r="F452" s="100" t="s">
        <v>2295</v>
      </c>
      <c r="K452" s="142"/>
    </row>
    <row r="453" spans="3:11" ht="12.75" customHeight="1">
      <c r="C453" s="20">
        <v>448</v>
      </c>
      <c r="D453" s="147" t="s">
        <v>2125</v>
      </c>
      <c r="E453" s="59" t="s">
        <v>2296</v>
      </c>
      <c r="F453" s="219" t="s">
        <v>2297</v>
      </c>
      <c r="K453" s="142"/>
    </row>
    <row r="454" spans="3:11" ht="12.75" customHeight="1">
      <c r="C454" s="20">
        <v>449</v>
      </c>
      <c r="D454" s="39" t="s">
        <v>2128</v>
      </c>
      <c r="E454" s="1" t="s">
        <v>2129</v>
      </c>
      <c r="F454" s="222" t="s">
        <v>2130</v>
      </c>
      <c r="K454" s="142"/>
    </row>
    <row r="455" spans="3:11" ht="12.75" customHeight="1">
      <c r="C455" s="20">
        <v>450</v>
      </c>
      <c r="D455" s="39" t="s">
        <v>2298</v>
      </c>
      <c r="E455" s="1" t="s">
        <v>2299</v>
      </c>
      <c r="F455" s="222" t="s">
        <v>2300</v>
      </c>
      <c r="K455" s="142"/>
    </row>
    <row r="456" spans="3:11">
      <c r="C456" s="20">
        <v>451</v>
      </c>
      <c r="D456" s="39" t="s">
        <v>2301</v>
      </c>
      <c r="E456" s="1" t="s">
        <v>2302</v>
      </c>
      <c r="F456" s="222" t="s">
        <v>2303</v>
      </c>
      <c r="K456" s="142"/>
    </row>
    <row r="457" spans="3:11">
      <c r="C457" s="20">
        <v>452</v>
      </c>
      <c r="D457" s="39" t="s">
        <v>2304</v>
      </c>
      <c r="E457" s="59" t="s">
        <v>2305</v>
      </c>
      <c r="F457" s="222" t="s">
        <v>2306</v>
      </c>
      <c r="K457" s="142"/>
    </row>
    <row r="458" spans="3:11" ht="13.5" thickBot="1">
      <c r="C458" s="20">
        <v>453</v>
      </c>
      <c r="D458" s="48" t="s">
        <v>2307</v>
      </c>
      <c r="E458" s="4" t="s">
        <v>2308</v>
      </c>
      <c r="F458" s="233" t="s">
        <v>2309</v>
      </c>
      <c r="K458" s="142"/>
    </row>
    <row r="459" spans="3:11" ht="13.5" thickTop="1">
      <c r="C459" s="20">
        <v>454</v>
      </c>
      <c r="D459" s="161" t="s">
        <v>118</v>
      </c>
      <c r="E459" s="353" t="s">
        <v>1958</v>
      </c>
      <c r="F459" s="230" t="s">
        <v>118</v>
      </c>
      <c r="K459" s="142"/>
    </row>
    <row r="460" spans="3:11" ht="19.5">
      <c r="C460" s="20">
        <v>455</v>
      </c>
      <c r="D460" s="107" t="s">
        <v>2310</v>
      </c>
      <c r="E460" s="63" t="s">
        <v>2311</v>
      </c>
      <c r="F460" s="107" t="s">
        <v>2312</v>
      </c>
      <c r="K460" s="142"/>
    </row>
    <row r="461" spans="3:11" ht="25.5">
      <c r="C461" s="20">
        <v>456</v>
      </c>
      <c r="D461" s="108" t="s">
        <v>2313</v>
      </c>
      <c r="E461" s="8" t="s">
        <v>2314</v>
      </c>
      <c r="F461" s="235" t="s">
        <v>2315</v>
      </c>
      <c r="K461" s="142"/>
    </row>
    <row r="462" spans="3:11" ht="25.5">
      <c r="C462" s="20">
        <v>457</v>
      </c>
      <c r="D462" s="157" t="s">
        <v>2316</v>
      </c>
      <c r="E462" s="64" t="s">
        <v>2317</v>
      </c>
      <c r="F462" s="229" t="s">
        <v>2318</v>
      </c>
      <c r="K462" s="142"/>
    </row>
    <row r="463" spans="3:11">
      <c r="C463" s="20">
        <v>458</v>
      </c>
      <c r="D463" s="157" t="s">
        <v>2319</v>
      </c>
      <c r="E463" s="64" t="s">
        <v>2320</v>
      </c>
      <c r="F463" s="229" t="s">
        <v>2321</v>
      </c>
      <c r="K463" s="142"/>
    </row>
    <row r="464" spans="3:11">
      <c r="C464" s="20">
        <v>459</v>
      </c>
      <c r="D464" s="157" t="s">
        <v>2322</v>
      </c>
      <c r="E464" s="64" t="s">
        <v>2323</v>
      </c>
      <c r="F464" s="229" t="s">
        <v>2324</v>
      </c>
      <c r="K464" s="142"/>
    </row>
    <row r="465" spans="3:11">
      <c r="C465" s="20">
        <v>460</v>
      </c>
      <c r="D465" s="157" t="s">
        <v>2325</v>
      </c>
      <c r="E465" s="64" t="s">
        <v>2326</v>
      </c>
      <c r="F465" s="229" t="s">
        <v>2327</v>
      </c>
      <c r="K465" s="142"/>
    </row>
    <row r="466" spans="3:11" ht="13.5" thickBot="1">
      <c r="C466" s="20">
        <v>461</v>
      </c>
      <c r="D466" s="154" t="s">
        <v>2328</v>
      </c>
      <c r="E466" s="340" t="s">
        <v>2329</v>
      </c>
      <c r="F466" s="226" t="s">
        <v>2330</v>
      </c>
      <c r="K466" s="142"/>
    </row>
    <row r="467" spans="3:11" ht="26.25" thickTop="1">
      <c r="C467" s="20">
        <v>462</v>
      </c>
      <c r="D467" s="161" t="s">
        <v>2331</v>
      </c>
      <c r="E467" s="64" t="s">
        <v>2332</v>
      </c>
      <c r="F467" s="230" t="s">
        <v>2333</v>
      </c>
      <c r="K467" s="142"/>
    </row>
    <row r="468" spans="3:11" ht="19.5">
      <c r="C468" s="20">
        <v>463</v>
      </c>
      <c r="D468" s="107" t="s">
        <v>2334</v>
      </c>
      <c r="E468" s="63" t="s">
        <v>2335</v>
      </c>
      <c r="F468" s="107" t="s">
        <v>2053</v>
      </c>
      <c r="K468" s="142"/>
    </row>
    <row r="469" spans="3:11">
      <c r="C469" s="20">
        <v>464</v>
      </c>
      <c r="D469" s="166" t="s">
        <v>682</v>
      </c>
      <c r="E469" s="64" t="s">
        <v>2336</v>
      </c>
      <c r="F469" s="236" t="s">
        <v>2337</v>
      </c>
      <c r="K469" s="142"/>
    </row>
    <row r="470" spans="3:11">
      <c r="C470" s="20">
        <v>465</v>
      </c>
      <c r="D470" s="157"/>
      <c r="E470" s="64"/>
      <c r="F470" s="229"/>
      <c r="K470" s="142"/>
    </row>
    <row r="471" spans="3:11">
      <c r="C471" s="20">
        <v>466</v>
      </c>
      <c r="D471" s="307" t="s">
        <v>684</v>
      </c>
      <c r="E471" s="283" t="s">
        <v>2054</v>
      </c>
      <c r="F471" s="308" t="s">
        <v>2055</v>
      </c>
      <c r="K471" s="142"/>
    </row>
    <row r="472" spans="3:11" ht="13.5" thickBot="1">
      <c r="C472" s="20">
        <v>467</v>
      </c>
      <c r="D472" s="154" t="s">
        <v>116</v>
      </c>
      <c r="E472" s="340" t="s">
        <v>2043</v>
      </c>
      <c r="F472" s="226" t="s">
        <v>2292</v>
      </c>
      <c r="K472" s="142"/>
    </row>
    <row r="473" spans="3:11" ht="13.5" thickTop="1">
      <c r="C473" s="20">
        <v>468</v>
      </c>
      <c r="D473" s="147" t="s">
        <v>118</v>
      </c>
      <c r="E473" s="64" t="s">
        <v>1958</v>
      </c>
      <c r="F473" s="219" t="s">
        <v>118</v>
      </c>
      <c r="K473" s="142"/>
    </row>
    <row r="474" spans="3:11" ht="19.5">
      <c r="C474" s="20">
        <v>469</v>
      </c>
      <c r="D474" s="107" t="s">
        <v>2338</v>
      </c>
      <c r="E474" s="107" t="s">
        <v>2339</v>
      </c>
      <c r="F474" s="107" t="s">
        <v>2340</v>
      </c>
      <c r="K474" s="142"/>
    </row>
    <row r="475" spans="3:11" ht="13.5" thickBot="1">
      <c r="C475" s="20">
        <v>470</v>
      </c>
      <c r="D475" s="46" t="s">
        <v>2341</v>
      </c>
      <c r="E475" s="2" t="s">
        <v>2342</v>
      </c>
      <c r="F475" s="46" t="s">
        <v>2343</v>
      </c>
      <c r="K475" s="142"/>
    </row>
    <row r="476" spans="3:11" ht="13.5" thickTop="1">
      <c r="C476" s="20">
        <v>471</v>
      </c>
      <c r="D476" s="161" t="s">
        <v>118</v>
      </c>
      <c r="E476" s="64" t="s">
        <v>1958</v>
      </c>
      <c r="F476" s="230" t="s">
        <v>118</v>
      </c>
      <c r="K476" s="142"/>
    </row>
    <row r="477" spans="3:11" ht="39">
      <c r="C477" s="20">
        <v>472</v>
      </c>
      <c r="D477" s="107" t="s">
        <v>2344</v>
      </c>
      <c r="E477" s="63" t="s">
        <v>2345</v>
      </c>
      <c r="F477" s="107" t="s">
        <v>2346</v>
      </c>
      <c r="K477" s="142"/>
    </row>
    <row r="478" spans="3:11">
      <c r="C478" s="20">
        <v>473</v>
      </c>
      <c r="D478" s="46" t="s">
        <v>2101</v>
      </c>
      <c r="E478" s="2" t="s">
        <v>2347</v>
      </c>
      <c r="F478" s="46" t="s">
        <v>2103</v>
      </c>
      <c r="K478" s="142"/>
    </row>
    <row r="479" spans="3:11" ht="25.5">
      <c r="C479" s="20">
        <v>474</v>
      </c>
      <c r="D479" s="160" t="s">
        <v>2104</v>
      </c>
      <c r="E479" s="8" t="s">
        <v>2105</v>
      </c>
      <c r="F479" s="160" t="s">
        <v>2348</v>
      </c>
      <c r="K479" s="142"/>
    </row>
    <row r="480" spans="3:11" ht="25.5">
      <c r="C480" s="20">
        <v>475</v>
      </c>
      <c r="D480" s="160" t="s">
        <v>2107</v>
      </c>
      <c r="E480" s="8" t="s">
        <v>2108</v>
      </c>
      <c r="F480" s="160" t="s">
        <v>2349</v>
      </c>
      <c r="K480" s="142"/>
    </row>
    <row r="481" spans="3:11" ht="25.5">
      <c r="C481" s="20">
        <v>476</v>
      </c>
      <c r="D481" s="160" t="s">
        <v>2110</v>
      </c>
      <c r="E481" s="8" t="s">
        <v>2111</v>
      </c>
      <c r="F481" s="160" t="s">
        <v>2350</v>
      </c>
      <c r="K481" s="142"/>
    </row>
    <row r="482" spans="3:11" ht="25.5">
      <c r="C482" s="20">
        <v>477</v>
      </c>
      <c r="D482" s="160" t="s">
        <v>2351</v>
      </c>
      <c r="E482" s="8" t="s">
        <v>2352</v>
      </c>
      <c r="F482" s="160" t="s">
        <v>2353</v>
      </c>
      <c r="K482" s="142"/>
    </row>
    <row r="483" spans="3:11" ht="26.25" thickBot="1">
      <c r="C483" s="20">
        <v>478</v>
      </c>
      <c r="D483" s="159" t="s">
        <v>2354</v>
      </c>
      <c r="E483" s="350" t="s">
        <v>2355</v>
      </c>
      <c r="F483" s="159" t="s">
        <v>2356</v>
      </c>
      <c r="K483" s="142"/>
    </row>
    <row r="484" spans="3:11" ht="20.25" thickTop="1">
      <c r="C484" s="20">
        <v>479</v>
      </c>
      <c r="D484" s="107" t="s">
        <v>2357</v>
      </c>
      <c r="E484" s="63" t="s">
        <v>2358</v>
      </c>
      <c r="F484" s="95" t="s">
        <v>2359</v>
      </c>
      <c r="K484" s="142"/>
    </row>
    <row r="485" spans="3:11">
      <c r="C485" s="20">
        <v>480</v>
      </c>
      <c r="D485" s="160" t="s">
        <v>2360</v>
      </c>
      <c r="E485" s="8" t="s">
        <v>2361</v>
      </c>
      <c r="F485" s="160" t="s">
        <v>2148</v>
      </c>
      <c r="K485" s="142"/>
    </row>
    <row r="486" spans="3:11">
      <c r="C486" s="20">
        <v>481</v>
      </c>
      <c r="D486" s="160" t="s">
        <v>2149</v>
      </c>
      <c r="E486" s="1" t="s">
        <v>2362</v>
      </c>
      <c r="F486" s="358" t="s">
        <v>2151</v>
      </c>
      <c r="K486" s="142"/>
    </row>
    <row r="487" spans="3:11" ht="26.25" thickBot="1">
      <c r="C487" s="20">
        <v>482</v>
      </c>
      <c r="D487" s="159" t="s">
        <v>2152</v>
      </c>
      <c r="E487" s="359" t="s">
        <v>2363</v>
      </c>
      <c r="F487" s="360" t="s">
        <v>2154</v>
      </c>
      <c r="K487" s="142"/>
    </row>
    <row r="488" spans="3:11" ht="59.25" thickTop="1">
      <c r="C488" s="20">
        <v>483</v>
      </c>
      <c r="D488" s="107" t="s">
        <v>2364</v>
      </c>
      <c r="E488" s="63" t="s">
        <v>2365</v>
      </c>
      <c r="F488" s="107" t="s">
        <v>2364</v>
      </c>
      <c r="K488" s="142"/>
    </row>
    <row r="489" spans="3:11">
      <c r="C489" s="20">
        <v>484</v>
      </c>
      <c r="D489" s="46" t="s">
        <v>2366</v>
      </c>
      <c r="E489" s="2" t="s">
        <v>2367</v>
      </c>
      <c r="F489" s="46" t="s">
        <v>2368</v>
      </c>
      <c r="K489" s="142"/>
    </row>
    <row r="490" spans="3:11" ht="19.5">
      <c r="C490" s="20">
        <v>485</v>
      </c>
      <c r="D490" s="107" t="s">
        <v>2369</v>
      </c>
      <c r="E490" s="107" t="s">
        <v>2370</v>
      </c>
      <c r="F490" s="107" t="s">
        <v>2371</v>
      </c>
      <c r="K490" s="142"/>
    </row>
    <row r="491" spans="3:11" ht="13.5" thickBot="1">
      <c r="C491" s="20">
        <v>486</v>
      </c>
      <c r="D491" s="154" t="s">
        <v>2372</v>
      </c>
      <c r="E491" s="64" t="s">
        <v>2373</v>
      </c>
      <c r="F491" s="226" t="s">
        <v>2374</v>
      </c>
      <c r="K491" s="142"/>
    </row>
    <row r="492" spans="3:11" ht="59.25" thickTop="1">
      <c r="C492" s="20">
        <v>487</v>
      </c>
      <c r="D492" s="107" t="s">
        <v>2375</v>
      </c>
      <c r="E492" s="107" t="s">
        <v>2376</v>
      </c>
      <c r="F492" s="107" t="s">
        <v>2377</v>
      </c>
      <c r="K492" s="142"/>
    </row>
    <row r="493" spans="3:11" ht="13.5" thickBot="1">
      <c r="C493" s="20">
        <v>488</v>
      </c>
      <c r="D493" s="154"/>
      <c r="E493" s="64"/>
      <c r="K493" s="142"/>
    </row>
    <row r="494" spans="3:11" ht="20.25" thickTop="1">
      <c r="C494" s="20">
        <v>489</v>
      </c>
      <c r="D494" s="107" t="s">
        <v>2378</v>
      </c>
      <c r="E494" s="63" t="s">
        <v>2379</v>
      </c>
      <c r="F494" s="107" t="s">
        <v>2380</v>
      </c>
      <c r="K494" s="142"/>
    </row>
    <row r="495" spans="3:11" ht="39">
      <c r="C495" s="20">
        <v>490</v>
      </c>
      <c r="D495" s="107" t="s">
        <v>2381</v>
      </c>
      <c r="E495" s="63" t="s">
        <v>2382</v>
      </c>
      <c r="F495" s="107" t="s">
        <v>2383</v>
      </c>
      <c r="K495" s="142"/>
    </row>
    <row r="496" spans="3:11" ht="13.5" thickBot="1">
      <c r="C496" s="20">
        <v>491</v>
      </c>
      <c r="D496" s="143"/>
      <c r="E496" s="144"/>
      <c r="F496" s="143"/>
      <c r="H496" s="144"/>
      <c r="I496" s="144"/>
      <c r="J496" s="144"/>
      <c r="K496" s="145"/>
    </row>
    <row r="497" spans="3:11" ht="19.5">
      <c r="C497" s="20">
        <v>492</v>
      </c>
      <c r="D497" s="49" t="s">
        <v>2384</v>
      </c>
      <c r="E497" s="9" t="s">
        <v>2385</v>
      </c>
      <c r="F497" s="95" t="s">
        <v>2386</v>
      </c>
      <c r="K497" s="142"/>
    </row>
    <row r="498" spans="3:11">
      <c r="C498" s="20">
        <v>493</v>
      </c>
      <c r="D498" s="147"/>
      <c r="E498" s="59"/>
      <c r="K498" s="142"/>
    </row>
    <row r="499" spans="3:11">
      <c r="C499" s="20">
        <v>494</v>
      </c>
      <c r="D499" s="39" t="s">
        <v>1876</v>
      </c>
      <c r="E499" s="1" t="s">
        <v>1877</v>
      </c>
      <c r="F499" s="222" t="s">
        <v>1878</v>
      </c>
      <c r="K499" s="142"/>
    </row>
    <row r="500" spans="3:11">
      <c r="C500" s="20">
        <v>495</v>
      </c>
      <c r="D500" s="79" t="s">
        <v>2164</v>
      </c>
      <c r="E500" s="80" t="s">
        <v>2165</v>
      </c>
      <c r="F500" s="133" t="s">
        <v>1885</v>
      </c>
      <c r="K500" s="142"/>
    </row>
    <row r="501" spans="3:11">
      <c r="C501" s="20">
        <v>496</v>
      </c>
      <c r="D501" s="79" t="s">
        <v>1895</v>
      </c>
      <c r="E501" s="80" t="s">
        <v>2387</v>
      </c>
      <c r="F501" s="133" t="s">
        <v>2388</v>
      </c>
      <c r="K501" s="142"/>
    </row>
    <row r="502" spans="3:11">
      <c r="C502" s="20">
        <v>497</v>
      </c>
      <c r="D502" s="79" t="s">
        <v>1880</v>
      </c>
      <c r="E502" s="207" t="s">
        <v>1881</v>
      </c>
      <c r="F502" s="133" t="s">
        <v>1882</v>
      </c>
      <c r="K502" s="142"/>
    </row>
    <row r="503" spans="3:11">
      <c r="C503" s="20">
        <v>498</v>
      </c>
      <c r="D503" s="79"/>
      <c r="E503" s="80"/>
      <c r="F503" s="133"/>
      <c r="K503" s="142"/>
    </row>
    <row r="504" spans="3:11" ht="25.5">
      <c r="C504" s="20">
        <v>499</v>
      </c>
      <c r="D504" s="41" t="s">
        <v>1907</v>
      </c>
      <c r="E504" s="25" t="s">
        <v>1908</v>
      </c>
      <c r="F504" s="38" t="s">
        <v>1909</v>
      </c>
      <c r="K504" s="142"/>
    </row>
    <row r="505" spans="3:11" ht="25.5">
      <c r="C505" s="20">
        <v>500</v>
      </c>
      <c r="D505" s="79" t="s">
        <v>1910</v>
      </c>
      <c r="E505" s="104" t="s">
        <v>1911</v>
      </c>
      <c r="F505" s="133" t="s">
        <v>1912</v>
      </c>
      <c r="K505" s="142"/>
    </row>
    <row r="506" spans="3:11" ht="38.25">
      <c r="C506" s="20">
        <v>501</v>
      </c>
      <c r="D506" s="133" t="s">
        <v>1913</v>
      </c>
      <c r="E506" s="260" t="s">
        <v>1914</v>
      </c>
      <c r="F506" s="133" t="s">
        <v>1915</v>
      </c>
      <c r="K506" s="142"/>
    </row>
    <row r="507" spans="3:11">
      <c r="C507" s="20">
        <v>502</v>
      </c>
      <c r="D507" s="167"/>
      <c r="E507" s="260"/>
      <c r="F507" s="237"/>
      <c r="K507" s="142"/>
    </row>
    <row r="508" spans="3:11" ht="25.5">
      <c r="C508" s="20">
        <v>503</v>
      </c>
      <c r="D508" s="41" t="s">
        <v>1918</v>
      </c>
      <c r="E508" s="25" t="s">
        <v>1919</v>
      </c>
      <c r="F508" s="38" t="s">
        <v>1920</v>
      </c>
      <c r="K508" s="142"/>
    </row>
    <row r="509" spans="3:11">
      <c r="C509" s="20">
        <v>504</v>
      </c>
      <c r="D509" s="79" t="s">
        <v>1921</v>
      </c>
      <c r="E509" s="104" t="s">
        <v>1922</v>
      </c>
      <c r="F509" s="133" t="s">
        <v>1923</v>
      </c>
      <c r="K509" s="142"/>
    </row>
    <row r="510" spans="3:11" ht="38.25">
      <c r="C510" s="20">
        <v>505</v>
      </c>
      <c r="D510" s="133" t="s">
        <v>1913</v>
      </c>
      <c r="E510" s="260" t="s">
        <v>1924</v>
      </c>
      <c r="F510" s="133" t="s">
        <v>1915</v>
      </c>
      <c r="K510" s="142"/>
    </row>
    <row r="511" spans="3:11" ht="51">
      <c r="C511" s="20">
        <v>506</v>
      </c>
      <c r="D511" s="133" t="s">
        <v>1925</v>
      </c>
      <c r="E511" s="260" t="s">
        <v>1926</v>
      </c>
      <c r="F511" s="133" t="s">
        <v>1927</v>
      </c>
      <c r="K511" s="142"/>
    </row>
    <row r="512" spans="3:11">
      <c r="C512" s="20">
        <v>507</v>
      </c>
      <c r="D512" s="170" t="s">
        <v>149</v>
      </c>
      <c r="E512" s="169" t="s">
        <v>149</v>
      </c>
      <c r="F512" s="169" t="s">
        <v>149</v>
      </c>
      <c r="K512" s="142"/>
    </row>
    <row r="513" spans="3:11">
      <c r="C513" s="20">
        <v>508</v>
      </c>
      <c r="D513" s="268" t="s">
        <v>149</v>
      </c>
      <c r="E513" s="269" t="s">
        <v>149</v>
      </c>
      <c r="F513" s="270" t="s">
        <v>149</v>
      </c>
      <c r="K513" s="142"/>
    </row>
    <row r="514" spans="3:11">
      <c r="C514" s="20">
        <v>509</v>
      </c>
      <c r="D514" s="332" t="s">
        <v>149</v>
      </c>
      <c r="E514" s="333" t="s">
        <v>149</v>
      </c>
      <c r="F514" s="332" t="s">
        <v>149</v>
      </c>
      <c r="K514" s="142"/>
    </row>
    <row r="515" spans="3:11">
      <c r="C515" s="20">
        <v>510</v>
      </c>
      <c r="D515" s="149" t="s">
        <v>149</v>
      </c>
      <c r="E515" s="331" t="s">
        <v>149</v>
      </c>
      <c r="F515" s="149" t="s">
        <v>149</v>
      </c>
      <c r="K515" s="142"/>
    </row>
    <row r="516" spans="3:11">
      <c r="C516" s="20">
        <v>511</v>
      </c>
      <c r="D516" s="332" t="s">
        <v>2389</v>
      </c>
      <c r="E516" s="333" t="s">
        <v>2390</v>
      </c>
      <c r="F516" s="354" t="s">
        <v>2391</v>
      </c>
      <c r="K516" s="142"/>
    </row>
    <row r="517" spans="3:11">
      <c r="C517" s="20">
        <v>512</v>
      </c>
      <c r="D517" s="146" t="s">
        <v>2392</v>
      </c>
      <c r="E517" s="168" t="s">
        <v>2393</v>
      </c>
      <c r="F517" s="64" t="s">
        <v>2394</v>
      </c>
      <c r="K517" s="142"/>
    </row>
    <row r="518" spans="3:11">
      <c r="C518" s="20">
        <v>513</v>
      </c>
      <c r="D518" s="109" t="s">
        <v>2395</v>
      </c>
      <c r="E518" s="110" t="s">
        <v>2396</v>
      </c>
      <c r="F518" s="109" t="s">
        <v>2397</v>
      </c>
      <c r="K518" s="142"/>
    </row>
    <row r="519" spans="3:11">
      <c r="C519" s="20">
        <v>514</v>
      </c>
      <c r="D519" s="109" t="s">
        <v>2398</v>
      </c>
      <c r="E519" s="110" t="s">
        <v>2399</v>
      </c>
      <c r="F519" s="109" t="s">
        <v>2400</v>
      </c>
      <c r="K519" s="142"/>
    </row>
    <row r="520" spans="3:11">
      <c r="C520" s="20">
        <v>515</v>
      </c>
      <c r="D520" s="109" t="s">
        <v>2401</v>
      </c>
      <c r="E520" s="110" t="s">
        <v>2402</v>
      </c>
      <c r="F520" s="109" t="s">
        <v>2403</v>
      </c>
      <c r="K520" s="142"/>
    </row>
    <row r="521" spans="3:11">
      <c r="C521" s="20">
        <v>516</v>
      </c>
      <c r="D521" s="109" t="s">
        <v>2404</v>
      </c>
      <c r="E521" s="109" t="s">
        <v>2405</v>
      </c>
      <c r="F521" s="109" t="s">
        <v>2406</v>
      </c>
      <c r="K521" s="142"/>
    </row>
    <row r="522" spans="3:11">
      <c r="C522" s="20">
        <v>517</v>
      </c>
      <c r="D522" s="109" t="s">
        <v>2407</v>
      </c>
      <c r="E522" s="110" t="s">
        <v>2408</v>
      </c>
      <c r="F522" s="109" t="s">
        <v>2409</v>
      </c>
      <c r="K522" s="142"/>
    </row>
    <row r="523" spans="3:11">
      <c r="C523" s="20">
        <v>518</v>
      </c>
      <c r="D523" s="111" t="s">
        <v>2410</v>
      </c>
      <c r="E523" s="110" t="s">
        <v>2411</v>
      </c>
      <c r="F523" s="111" t="s">
        <v>2412</v>
      </c>
      <c r="K523" s="142"/>
    </row>
    <row r="524" spans="3:11">
      <c r="C524" s="20">
        <v>519</v>
      </c>
      <c r="D524" s="109" t="s">
        <v>2413</v>
      </c>
      <c r="E524" s="110" t="s">
        <v>2414</v>
      </c>
      <c r="F524" s="109" t="s">
        <v>2415</v>
      </c>
      <c r="K524" s="142"/>
    </row>
    <row r="525" spans="3:11">
      <c r="C525" s="20">
        <v>520</v>
      </c>
      <c r="D525" s="109" t="s">
        <v>2416</v>
      </c>
      <c r="E525" s="110" t="s">
        <v>2417</v>
      </c>
      <c r="F525" s="109" t="s">
        <v>2418</v>
      </c>
      <c r="K525" s="142"/>
    </row>
    <row r="526" spans="3:11">
      <c r="C526" s="20">
        <v>521</v>
      </c>
      <c r="D526" s="109" t="s">
        <v>2419</v>
      </c>
      <c r="E526" s="110" t="s">
        <v>2420</v>
      </c>
      <c r="F526" s="109" t="s">
        <v>2421</v>
      </c>
      <c r="K526" s="142"/>
    </row>
    <row r="527" spans="3:11">
      <c r="C527" s="20">
        <v>522</v>
      </c>
      <c r="D527" s="109" t="s">
        <v>2422</v>
      </c>
      <c r="E527" s="110" t="s">
        <v>2423</v>
      </c>
      <c r="F527" s="109" t="s">
        <v>2424</v>
      </c>
      <c r="K527" s="142"/>
    </row>
    <row r="528" spans="3:11">
      <c r="C528" s="20">
        <v>523</v>
      </c>
      <c r="D528" s="109" t="s">
        <v>2425</v>
      </c>
      <c r="E528" s="110" t="s">
        <v>2426</v>
      </c>
      <c r="F528" s="109" t="s">
        <v>2427</v>
      </c>
      <c r="K528" s="142"/>
    </row>
    <row r="529" spans="3:11">
      <c r="C529" s="20">
        <v>524</v>
      </c>
      <c r="D529" s="109" t="s">
        <v>2428</v>
      </c>
      <c r="E529" s="110" t="s">
        <v>2429</v>
      </c>
      <c r="F529" s="109" t="s">
        <v>2430</v>
      </c>
      <c r="K529" s="142"/>
    </row>
    <row r="530" spans="3:11">
      <c r="C530" s="20">
        <v>525</v>
      </c>
      <c r="D530" s="109" t="s">
        <v>1690</v>
      </c>
      <c r="E530" s="110" t="s">
        <v>1691</v>
      </c>
      <c r="F530" s="109" t="s">
        <v>1692</v>
      </c>
      <c r="K530" s="142"/>
    </row>
    <row r="531" spans="3:11" ht="25.5">
      <c r="C531" s="20">
        <v>526</v>
      </c>
      <c r="D531" s="109" t="s">
        <v>2431</v>
      </c>
      <c r="E531" s="110" t="s">
        <v>2432</v>
      </c>
      <c r="F531" s="109" t="s">
        <v>2433</v>
      </c>
      <c r="K531" s="142"/>
    </row>
    <row r="532" spans="3:11" ht="25.5">
      <c r="C532" s="20">
        <v>527</v>
      </c>
      <c r="D532" s="109" t="s">
        <v>2434</v>
      </c>
      <c r="E532" s="110" t="s">
        <v>2435</v>
      </c>
      <c r="F532" s="109" t="s">
        <v>2436</v>
      </c>
      <c r="K532" s="142"/>
    </row>
    <row r="533" spans="3:11" ht="25.5">
      <c r="C533" s="20">
        <v>528</v>
      </c>
      <c r="D533" s="109" t="s">
        <v>2437</v>
      </c>
      <c r="E533" s="110" t="s">
        <v>2438</v>
      </c>
      <c r="F533" s="109" t="s">
        <v>2439</v>
      </c>
      <c r="K533" s="142"/>
    </row>
    <row r="534" spans="3:11" ht="25.5">
      <c r="C534" s="20">
        <v>529</v>
      </c>
      <c r="D534" s="109" t="s">
        <v>2440</v>
      </c>
      <c r="E534" s="110" t="s">
        <v>2441</v>
      </c>
      <c r="F534" s="109" t="s">
        <v>2442</v>
      </c>
      <c r="K534" s="142"/>
    </row>
    <row r="535" spans="3:11">
      <c r="C535" s="20">
        <v>530</v>
      </c>
      <c r="D535" s="109" t="s">
        <v>2443</v>
      </c>
      <c r="E535" s="110" t="s">
        <v>2444</v>
      </c>
      <c r="F535" s="109" t="s">
        <v>2443</v>
      </c>
      <c r="K535" s="142"/>
    </row>
    <row r="536" spans="3:11" ht="25.5">
      <c r="C536" s="20">
        <v>531</v>
      </c>
      <c r="D536" s="109" t="s">
        <v>2445</v>
      </c>
      <c r="E536" s="110" t="s">
        <v>2446</v>
      </c>
      <c r="F536" s="109" t="s">
        <v>2447</v>
      </c>
      <c r="K536" s="142"/>
    </row>
    <row r="537" spans="3:11">
      <c r="C537" s="20">
        <v>532</v>
      </c>
      <c r="D537" s="109" t="s">
        <v>2448</v>
      </c>
      <c r="E537" s="110" t="s">
        <v>2449</v>
      </c>
      <c r="F537" s="109" t="s">
        <v>2450</v>
      </c>
      <c r="K537" s="142"/>
    </row>
    <row r="538" spans="3:11">
      <c r="C538" s="20">
        <v>533</v>
      </c>
      <c r="D538" s="109" t="s">
        <v>2451</v>
      </c>
      <c r="E538" s="110" t="s">
        <v>2452</v>
      </c>
      <c r="F538" s="109" t="s">
        <v>2453</v>
      </c>
      <c r="K538" s="142"/>
    </row>
    <row r="539" spans="3:11">
      <c r="C539" s="20">
        <v>534</v>
      </c>
      <c r="D539" s="109"/>
      <c r="E539" s="110"/>
      <c r="F539" s="109"/>
      <c r="K539" s="142"/>
    </row>
    <row r="540" spans="3:11">
      <c r="C540" s="20">
        <v>535</v>
      </c>
      <c r="D540" s="109" t="s">
        <v>2454</v>
      </c>
      <c r="E540" s="110" t="s">
        <v>2455</v>
      </c>
      <c r="F540" s="109" t="s">
        <v>2456</v>
      </c>
      <c r="K540" s="142"/>
    </row>
    <row r="541" spans="3:11" ht="13.5" thickBot="1">
      <c r="C541" s="20">
        <v>536</v>
      </c>
      <c r="D541" s="143"/>
      <c r="E541" s="144"/>
      <c r="F541" s="143"/>
      <c r="H541" s="144"/>
      <c r="I541" s="144"/>
      <c r="J541" s="144"/>
      <c r="K541" s="145"/>
    </row>
    <row r="542" spans="3:11" ht="45">
      <c r="C542" s="20">
        <v>537</v>
      </c>
      <c r="D542" s="70" t="s">
        <v>2457</v>
      </c>
      <c r="E542" s="71" t="s">
        <v>2458</v>
      </c>
      <c r="F542" s="70" t="s">
        <v>2459</v>
      </c>
      <c r="K542" s="142"/>
    </row>
    <row r="543" spans="3:11" ht="12.75" customHeight="1">
      <c r="C543" s="20">
        <v>538</v>
      </c>
      <c r="D543" s="147"/>
      <c r="E543" s="59"/>
      <c r="K543" s="142"/>
    </row>
    <row r="544" spans="3:11" ht="12.75" customHeight="1">
      <c r="C544" s="20">
        <v>539</v>
      </c>
      <c r="D544" s="39" t="s">
        <v>1876</v>
      </c>
      <c r="E544" s="1" t="s">
        <v>1877</v>
      </c>
      <c r="F544" s="222" t="s">
        <v>1878</v>
      </c>
      <c r="K544" s="142"/>
    </row>
    <row r="545" spans="3:11" ht="12.75" customHeight="1">
      <c r="C545" s="20">
        <v>540</v>
      </c>
      <c r="D545" s="79" t="s">
        <v>2164</v>
      </c>
      <c r="E545" s="80" t="s">
        <v>2165</v>
      </c>
      <c r="F545" s="133" t="s">
        <v>1885</v>
      </c>
      <c r="K545" s="142"/>
    </row>
    <row r="546" spans="3:11" ht="12.75" customHeight="1">
      <c r="C546" s="20">
        <v>541</v>
      </c>
      <c r="D546" s="79" t="s">
        <v>1895</v>
      </c>
      <c r="E546" s="80" t="s">
        <v>2387</v>
      </c>
      <c r="F546" s="133" t="s">
        <v>2388</v>
      </c>
      <c r="K546" s="142"/>
    </row>
    <row r="547" spans="3:11" ht="12.75" customHeight="1">
      <c r="C547" s="20">
        <v>542</v>
      </c>
      <c r="D547" s="79" t="s">
        <v>1880</v>
      </c>
      <c r="E547" s="207" t="s">
        <v>1881</v>
      </c>
      <c r="F547" s="133" t="s">
        <v>1882</v>
      </c>
      <c r="K547" s="142"/>
    </row>
    <row r="548" spans="3:11" ht="12.75" customHeight="1">
      <c r="C548" s="20">
        <v>543</v>
      </c>
      <c r="D548" s="79"/>
      <c r="E548" s="80"/>
      <c r="F548" s="133"/>
      <c r="K548" s="142"/>
    </row>
    <row r="549" spans="3:11" ht="12.75" customHeight="1">
      <c r="C549" s="20">
        <v>544</v>
      </c>
      <c r="D549" s="41" t="s">
        <v>1907</v>
      </c>
      <c r="E549" s="25" t="s">
        <v>1908</v>
      </c>
      <c r="F549" s="38" t="s">
        <v>1909</v>
      </c>
      <c r="K549" s="142"/>
    </row>
    <row r="550" spans="3:11" ht="12.75" customHeight="1">
      <c r="C550" s="20">
        <v>545</v>
      </c>
      <c r="D550" s="79" t="s">
        <v>1910</v>
      </c>
      <c r="E550" s="104" t="s">
        <v>1911</v>
      </c>
      <c r="F550" s="133" t="s">
        <v>1912</v>
      </c>
      <c r="K550" s="142"/>
    </row>
    <row r="551" spans="3:11" ht="38.25">
      <c r="C551" s="20">
        <v>546</v>
      </c>
      <c r="D551" s="133" t="s">
        <v>1913</v>
      </c>
      <c r="E551" s="260" t="s">
        <v>1914</v>
      </c>
      <c r="F551" s="133" t="s">
        <v>1915</v>
      </c>
      <c r="K551" s="142"/>
    </row>
    <row r="552" spans="3:11" ht="12.75" customHeight="1">
      <c r="C552" s="20">
        <v>547</v>
      </c>
      <c r="D552" s="167"/>
      <c r="E552" s="260"/>
      <c r="F552" s="237"/>
      <c r="K552" s="142"/>
    </row>
    <row r="553" spans="3:11" ht="12.75" customHeight="1">
      <c r="C553" s="20">
        <v>548</v>
      </c>
      <c r="D553" s="41" t="s">
        <v>1918</v>
      </c>
      <c r="E553" s="25" t="s">
        <v>1919</v>
      </c>
      <c r="F553" s="38" t="s">
        <v>1920</v>
      </c>
      <c r="K553" s="142"/>
    </row>
    <row r="554" spans="3:11" ht="12.75" customHeight="1">
      <c r="C554" s="20">
        <v>549</v>
      </c>
      <c r="D554" s="79" t="s">
        <v>1921</v>
      </c>
      <c r="E554" s="104" t="s">
        <v>1922</v>
      </c>
      <c r="F554" s="133" t="s">
        <v>1923</v>
      </c>
      <c r="K554" s="142"/>
    </row>
    <row r="555" spans="3:11" ht="38.25">
      <c r="C555" s="20">
        <v>550</v>
      </c>
      <c r="D555" s="133" t="s">
        <v>1913</v>
      </c>
      <c r="E555" s="260" t="s">
        <v>1924</v>
      </c>
      <c r="F555" s="133" t="s">
        <v>1915</v>
      </c>
      <c r="K555" s="142"/>
    </row>
    <row r="556" spans="3:11" ht="51">
      <c r="C556" s="20">
        <v>551</v>
      </c>
      <c r="D556" s="133" t="s">
        <v>1925</v>
      </c>
      <c r="E556" s="260" t="s">
        <v>1926</v>
      </c>
      <c r="F556" s="133" t="s">
        <v>1927</v>
      </c>
      <c r="K556" s="142"/>
    </row>
    <row r="557" spans="3:11" ht="12.75" customHeight="1">
      <c r="C557" s="20">
        <v>552</v>
      </c>
      <c r="D557" s="147"/>
      <c r="E557" s="59"/>
      <c r="K557" s="142"/>
    </row>
    <row r="558" spans="3:11" ht="12.75" customHeight="1">
      <c r="C558" s="20">
        <v>553</v>
      </c>
      <c r="D558" s="40" t="s">
        <v>1928</v>
      </c>
      <c r="E558" s="16" t="s">
        <v>1929</v>
      </c>
      <c r="F558" s="223" t="s">
        <v>1930</v>
      </c>
      <c r="K558" s="142"/>
    </row>
    <row r="559" spans="3:11">
      <c r="C559" s="20">
        <v>554</v>
      </c>
      <c r="D559" s="332"/>
      <c r="E559" s="333"/>
      <c r="F559" s="332"/>
      <c r="K559" s="142"/>
    </row>
    <row r="560" spans="3:11">
      <c r="C560" s="20">
        <v>555</v>
      </c>
      <c r="D560" s="332"/>
      <c r="E560" s="64"/>
      <c r="K560" s="142"/>
    </row>
    <row r="561" spans="3:11" ht="12.75" customHeight="1">
      <c r="C561" s="20">
        <v>556</v>
      </c>
      <c r="D561" s="146" t="s">
        <v>2460</v>
      </c>
      <c r="E561" s="66" t="s">
        <v>2461</v>
      </c>
      <c r="F561" s="146" t="s">
        <v>2462</v>
      </c>
      <c r="K561" s="142"/>
    </row>
    <row r="562" spans="3:11" ht="12.75" customHeight="1">
      <c r="C562" s="20">
        <v>557</v>
      </c>
      <c r="D562" s="85" t="s">
        <v>2463</v>
      </c>
      <c r="E562" s="58" t="s">
        <v>2464</v>
      </c>
      <c r="F562" s="220" t="s">
        <v>2465</v>
      </c>
      <c r="K562" s="142"/>
    </row>
    <row r="563" spans="3:11" ht="12.75" customHeight="1">
      <c r="C563" s="20">
        <v>558</v>
      </c>
      <c r="D563" s="109" t="s">
        <v>2395</v>
      </c>
      <c r="E563" s="110" t="s">
        <v>2396</v>
      </c>
      <c r="F563" s="109" t="s">
        <v>2397</v>
      </c>
      <c r="K563" s="142"/>
    </row>
    <row r="564" spans="3:11" ht="12.75" customHeight="1">
      <c r="C564" s="20">
        <v>559</v>
      </c>
      <c r="D564" s="109" t="s">
        <v>2466</v>
      </c>
      <c r="E564" s="109" t="s">
        <v>2467</v>
      </c>
      <c r="F564" s="109" t="s">
        <v>2468</v>
      </c>
      <c r="K564" s="142"/>
    </row>
    <row r="565" spans="3:11" ht="12.75" customHeight="1">
      <c r="C565" s="20">
        <v>560</v>
      </c>
      <c r="D565" s="361" t="s">
        <v>2469</v>
      </c>
      <c r="E565" s="361" t="s">
        <v>2470</v>
      </c>
      <c r="F565" s="361" t="s">
        <v>2471</v>
      </c>
      <c r="K565" s="142"/>
    </row>
    <row r="566" spans="3:11" ht="12.75" customHeight="1">
      <c r="C566" s="20">
        <v>561</v>
      </c>
      <c r="D566" s="109" t="s">
        <v>2398</v>
      </c>
      <c r="E566" s="110" t="s">
        <v>2399</v>
      </c>
      <c r="F566" s="109" t="s">
        <v>2400</v>
      </c>
      <c r="K566" s="142"/>
    </row>
    <row r="567" spans="3:11">
      <c r="C567" s="20">
        <v>562</v>
      </c>
      <c r="D567" s="109"/>
      <c r="E567" s="214"/>
      <c r="F567" s="109"/>
      <c r="K567" s="142"/>
    </row>
    <row r="568" spans="3:11" ht="12.75" customHeight="1">
      <c r="C568" s="20">
        <v>563</v>
      </c>
      <c r="D568" s="109" t="s">
        <v>2401</v>
      </c>
      <c r="E568" s="110" t="s">
        <v>2402</v>
      </c>
      <c r="F568" s="109" t="s">
        <v>2403</v>
      </c>
      <c r="K568" s="142"/>
    </row>
    <row r="569" spans="3:11" ht="12.75" customHeight="1">
      <c r="C569" s="20">
        <v>564</v>
      </c>
      <c r="D569" s="109" t="s">
        <v>2472</v>
      </c>
      <c r="E569" s="109" t="s">
        <v>2405</v>
      </c>
      <c r="F569" s="109" t="s">
        <v>2406</v>
      </c>
      <c r="K569" s="142"/>
    </row>
    <row r="570" spans="3:11" ht="12.75" customHeight="1">
      <c r="C570" s="20">
        <v>565</v>
      </c>
      <c r="D570" s="109" t="s">
        <v>2473</v>
      </c>
      <c r="E570" s="109" t="s">
        <v>2474</v>
      </c>
      <c r="F570" s="109" t="s">
        <v>2475</v>
      </c>
      <c r="K570" s="142"/>
    </row>
    <row r="571" spans="3:11" ht="12.75" customHeight="1">
      <c r="C571" s="20">
        <v>566</v>
      </c>
      <c r="D571" s="109" t="s">
        <v>2476</v>
      </c>
      <c r="E571" s="109" t="s">
        <v>2477</v>
      </c>
      <c r="F571" s="109" t="s">
        <v>2478</v>
      </c>
      <c r="K571" s="142"/>
    </row>
    <row r="572" spans="3:11" ht="12.75" customHeight="1">
      <c r="C572" s="20">
        <v>567</v>
      </c>
      <c r="D572" s="109" t="s">
        <v>2479</v>
      </c>
      <c r="E572" s="109" t="str">
        <f>E565</f>
        <v xml:space="preserve">Numerische Referenznummer. </v>
      </c>
      <c r="F572" s="109" t="s">
        <v>2471</v>
      </c>
      <c r="K572" s="142"/>
    </row>
    <row r="573" spans="3:11" ht="12.75" customHeight="1">
      <c r="C573" s="20">
        <v>568</v>
      </c>
      <c r="D573" s="109" t="s">
        <v>2480</v>
      </c>
      <c r="E573" s="110" t="s">
        <v>2408</v>
      </c>
      <c r="F573" s="109" t="s">
        <v>2409</v>
      </c>
      <c r="K573" s="142"/>
    </row>
    <row r="574" spans="3:11" ht="12.75" customHeight="1">
      <c r="C574" s="20">
        <v>569</v>
      </c>
      <c r="D574" s="109" t="s">
        <v>2481</v>
      </c>
      <c r="E574" s="112" t="s">
        <v>2482</v>
      </c>
      <c r="F574" s="109" t="s">
        <v>2483</v>
      </c>
      <c r="K574" s="142"/>
    </row>
    <row r="575" spans="3:11" ht="51">
      <c r="C575" s="20">
        <v>570</v>
      </c>
      <c r="D575" s="109" t="s">
        <v>2484</v>
      </c>
      <c r="E575" s="109" t="s">
        <v>2485</v>
      </c>
      <c r="F575" s="109" t="s">
        <v>2486</v>
      </c>
      <c r="K575" s="142"/>
    </row>
    <row r="576" spans="3:11" ht="12.75" customHeight="1">
      <c r="C576" s="20">
        <v>571</v>
      </c>
      <c r="D576" s="109" t="s">
        <v>2487</v>
      </c>
      <c r="E576" s="110" t="s">
        <v>2488</v>
      </c>
      <c r="F576" s="109" t="s">
        <v>2489</v>
      </c>
      <c r="K576" s="142"/>
    </row>
    <row r="577" spans="3:11" ht="38.25">
      <c r="C577" s="20">
        <v>572</v>
      </c>
      <c r="D577" s="109" t="s">
        <v>2490</v>
      </c>
      <c r="E577" s="109" t="s">
        <v>2491</v>
      </c>
      <c r="F577" s="109" t="s">
        <v>2492</v>
      </c>
      <c r="K577" s="142"/>
    </row>
    <row r="578" spans="3:11" ht="12.75" customHeight="1">
      <c r="C578" s="20">
        <v>573</v>
      </c>
      <c r="D578" s="109" t="s">
        <v>2493</v>
      </c>
      <c r="E578" s="110" t="s">
        <v>2494</v>
      </c>
      <c r="F578" s="109" t="s">
        <v>2430</v>
      </c>
      <c r="K578" s="142"/>
    </row>
    <row r="579" spans="3:11" ht="12.75" customHeight="1">
      <c r="C579" s="20">
        <v>574</v>
      </c>
      <c r="D579" s="109" t="s">
        <v>2454</v>
      </c>
      <c r="E579" s="109" t="str">
        <f>E540</f>
        <v>Rückzahlungsprofil</v>
      </c>
      <c r="F579" s="109" t="s">
        <v>2495</v>
      </c>
      <c r="K579" s="142"/>
    </row>
    <row r="580" spans="3:11">
      <c r="C580" s="20">
        <v>575</v>
      </c>
      <c r="D580" s="109" t="s">
        <v>1690</v>
      </c>
      <c r="E580" s="110" t="s">
        <v>1691</v>
      </c>
      <c r="F580" s="109" t="s">
        <v>1692</v>
      </c>
      <c r="K580" s="142"/>
    </row>
    <row r="581" spans="3:11" ht="12.75" customHeight="1">
      <c r="C581" s="20">
        <v>576</v>
      </c>
      <c r="D581" s="109" t="s">
        <v>2496</v>
      </c>
      <c r="E581" s="109" t="s">
        <v>2497</v>
      </c>
      <c r="F581" s="109" t="s">
        <v>2498</v>
      </c>
      <c r="K581" s="142"/>
    </row>
    <row r="582" spans="3:11" ht="12.75" customHeight="1">
      <c r="C582" s="20">
        <v>577</v>
      </c>
      <c r="D582" s="109" t="s">
        <v>2499</v>
      </c>
      <c r="E582" s="109" t="s">
        <v>2500</v>
      </c>
      <c r="F582" s="109" t="s">
        <v>2501</v>
      </c>
      <c r="K582" s="142"/>
    </row>
    <row r="583" spans="3:11" ht="23.45" customHeight="1">
      <c r="C583" s="20">
        <v>578</v>
      </c>
      <c r="D583" s="109" t="s">
        <v>2502</v>
      </c>
      <c r="E583" s="109" t="s">
        <v>2503</v>
      </c>
      <c r="F583" s="109" t="s">
        <v>2504</v>
      </c>
      <c r="K583" s="142"/>
    </row>
    <row r="584" spans="3:11" ht="38.25">
      <c r="C584" s="20">
        <v>579</v>
      </c>
      <c r="D584" s="109" t="s">
        <v>2505</v>
      </c>
      <c r="E584" s="109" t="s">
        <v>2506</v>
      </c>
      <c r="F584" s="109" t="s">
        <v>2507</v>
      </c>
      <c r="K584" s="142"/>
    </row>
    <row r="585" spans="3:11" ht="25.5">
      <c r="C585" s="20">
        <v>580</v>
      </c>
      <c r="D585" s="109" t="s">
        <v>2508</v>
      </c>
      <c r="E585" s="109" t="s">
        <v>2509</v>
      </c>
      <c r="F585" s="109" t="s">
        <v>2510</v>
      </c>
      <c r="K585" s="142"/>
    </row>
    <row r="586" spans="3:11" ht="39" thickBot="1">
      <c r="C586" s="20">
        <v>581</v>
      </c>
      <c r="D586" s="109" t="s">
        <v>2511</v>
      </c>
      <c r="E586" s="109" t="s">
        <v>2512</v>
      </c>
      <c r="F586" s="109" t="s">
        <v>2501</v>
      </c>
      <c r="H586" s="144"/>
      <c r="I586" s="144"/>
      <c r="J586" s="144"/>
      <c r="K586" s="145"/>
    </row>
    <row r="587" spans="3:11" ht="25.5">
      <c r="C587" s="20">
        <v>582</v>
      </c>
      <c r="D587" s="109" t="s">
        <v>2513</v>
      </c>
      <c r="E587" s="110" t="s">
        <v>2514</v>
      </c>
      <c r="F587" s="110" t="s">
        <v>2515</v>
      </c>
      <c r="K587" s="142"/>
    </row>
    <row r="588" spans="3:11">
      <c r="C588" s="20">
        <v>583</v>
      </c>
      <c r="D588" s="109" t="s">
        <v>2516</v>
      </c>
      <c r="E588" s="109" t="s">
        <v>2517</v>
      </c>
      <c r="F588" s="109" t="s">
        <v>2518</v>
      </c>
      <c r="K588" s="142"/>
    </row>
    <row r="589" spans="3:11" ht="25.5">
      <c r="C589" s="20">
        <v>584</v>
      </c>
      <c r="D589" s="361" t="s">
        <v>2519</v>
      </c>
      <c r="E589" s="361" t="str">
        <f>E1409</f>
        <v xml:space="preserve"> </v>
      </c>
      <c r="F589" s="361" t="s">
        <v>2520</v>
      </c>
      <c r="K589" s="142"/>
    </row>
    <row r="590" spans="3:11">
      <c r="C590" s="20">
        <v>585</v>
      </c>
      <c r="D590" s="109" t="s">
        <v>2521</v>
      </c>
      <c r="E590" s="109" t="s">
        <v>2522</v>
      </c>
      <c r="F590" s="109" t="s">
        <v>2523</v>
      </c>
      <c r="K590" s="142"/>
    </row>
    <row r="591" spans="3:11">
      <c r="C591" s="20">
        <v>586</v>
      </c>
      <c r="D591" s="109" t="s">
        <v>2524</v>
      </c>
      <c r="E591" s="109" t="s">
        <v>2525</v>
      </c>
      <c r="F591" s="109" t="s">
        <v>2526</v>
      </c>
      <c r="K591" s="142"/>
    </row>
    <row r="592" spans="3:11">
      <c r="C592" s="20">
        <v>587</v>
      </c>
      <c r="D592" s="109" t="s">
        <v>2527</v>
      </c>
      <c r="E592" s="109" t="s">
        <v>2528</v>
      </c>
      <c r="F592" s="109" t="s">
        <v>2529</v>
      </c>
      <c r="K592" s="142"/>
    </row>
    <row r="593" spans="3:11">
      <c r="C593" s="20">
        <v>588</v>
      </c>
      <c r="D593" s="109" t="s">
        <v>2530</v>
      </c>
      <c r="E593" s="109" t="s">
        <v>2531</v>
      </c>
      <c r="F593" s="109" t="s">
        <v>2532</v>
      </c>
      <c r="K593" s="142"/>
    </row>
    <row r="594" spans="3:11">
      <c r="C594" s="20">
        <v>589</v>
      </c>
      <c r="D594" s="109" t="s">
        <v>2533</v>
      </c>
      <c r="E594" s="109" t="s">
        <v>2534</v>
      </c>
      <c r="F594" s="109" t="s">
        <v>2535</v>
      </c>
      <c r="K594" s="142"/>
    </row>
    <row r="595" spans="3:11">
      <c r="C595" s="20">
        <v>590</v>
      </c>
      <c r="D595" s="109" t="s">
        <v>2536</v>
      </c>
      <c r="E595" s="109" t="s">
        <v>2537</v>
      </c>
      <c r="F595" s="109" t="s">
        <v>2538</v>
      </c>
      <c r="K595" s="142"/>
    </row>
    <row r="596" spans="3:11">
      <c r="C596" s="20">
        <v>591</v>
      </c>
      <c r="D596" s="109" t="s">
        <v>2539</v>
      </c>
      <c r="E596" s="109" t="s">
        <v>2540</v>
      </c>
      <c r="F596" s="109" t="s">
        <v>2541</v>
      </c>
      <c r="K596" s="142"/>
    </row>
    <row r="597" spans="3:11">
      <c r="C597" s="20">
        <v>592</v>
      </c>
      <c r="D597" s="109" t="s">
        <v>2542</v>
      </c>
      <c r="E597" s="109" t="s">
        <v>2543</v>
      </c>
      <c r="F597" s="109" t="s">
        <v>2544</v>
      </c>
      <c r="K597" s="142"/>
    </row>
    <row r="598" spans="3:11" ht="25.5">
      <c r="C598" s="20">
        <v>593</v>
      </c>
      <c r="D598" s="109" t="s">
        <v>2545</v>
      </c>
      <c r="E598" s="109" t="s">
        <v>2546</v>
      </c>
      <c r="F598" s="109" t="s">
        <v>2547</v>
      </c>
      <c r="K598" s="142"/>
    </row>
    <row r="599" spans="3:11">
      <c r="C599" s="20">
        <v>594</v>
      </c>
      <c r="D599" s="109" t="s">
        <v>2443</v>
      </c>
      <c r="E599" s="110" t="s">
        <v>2444</v>
      </c>
      <c r="F599" s="109" t="s">
        <v>2443</v>
      </c>
      <c r="K599" s="142"/>
    </row>
    <row r="600" spans="3:11" ht="51">
      <c r="C600" s="20">
        <v>595</v>
      </c>
      <c r="D600" s="361" t="s">
        <v>2548</v>
      </c>
      <c r="E600" s="362" t="s">
        <v>2549</v>
      </c>
      <c r="F600" s="361" t="s">
        <v>2550</v>
      </c>
      <c r="K600" s="142"/>
    </row>
    <row r="601" spans="3:11">
      <c r="C601" s="20">
        <v>596</v>
      </c>
      <c r="D601" s="332"/>
      <c r="E601" s="332"/>
      <c r="F601" s="332"/>
      <c r="K601" s="142"/>
    </row>
    <row r="602" spans="3:11">
      <c r="C602" s="20">
        <v>597</v>
      </c>
      <c r="D602" s="332"/>
      <c r="E602" s="332"/>
      <c r="F602" s="332"/>
      <c r="K602" s="142"/>
    </row>
    <row r="603" spans="3:11">
      <c r="C603" s="20">
        <v>598</v>
      </c>
      <c r="D603" s="332"/>
      <c r="E603" s="332"/>
      <c r="F603" s="332"/>
      <c r="K603" s="142"/>
    </row>
    <row r="604" spans="3:11">
      <c r="C604" s="20">
        <v>599</v>
      </c>
      <c r="D604" s="332"/>
      <c r="E604" s="332"/>
      <c r="F604" s="332"/>
      <c r="K604" s="142"/>
    </row>
    <row r="605" spans="3:11">
      <c r="C605" s="20">
        <v>600</v>
      </c>
      <c r="D605" s="146"/>
      <c r="E605" s="146"/>
      <c r="F605" s="146"/>
      <c r="K605" s="142"/>
    </row>
    <row r="606" spans="3:11">
      <c r="C606" s="20">
        <v>601</v>
      </c>
      <c r="D606" s="146"/>
      <c r="E606" s="146"/>
      <c r="F606" s="146"/>
      <c r="K606" s="142"/>
    </row>
    <row r="607" spans="3:11">
      <c r="C607" s="20">
        <v>602</v>
      </c>
      <c r="D607" s="146"/>
      <c r="E607" s="146"/>
      <c r="F607" s="146"/>
      <c r="K607" s="142"/>
    </row>
    <row r="608" spans="3:11">
      <c r="C608" s="20">
        <v>603</v>
      </c>
      <c r="D608" s="146"/>
      <c r="E608" s="146"/>
      <c r="F608" s="146"/>
      <c r="K608" s="142"/>
    </row>
    <row r="609" spans="3:11">
      <c r="C609" s="20">
        <v>604</v>
      </c>
      <c r="D609" s="146"/>
      <c r="E609" s="146"/>
      <c r="F609" s="146"/>
      <c r="K609" s="142"/>
    </row>
    <row r="610" spans="3:11">
      <c r="C610" s="20">
        <v>605</v>
      </c>
      <c r="D610" s="146"/>
      <c r="E610" s="146"/>
      <c r="F610" s="146"/>
      <c r="K610" s="142"/>
    </row>
    <row r="611" spans="3:11">
      <c r="C611" s="20">
        <v>606</v>
      </c>
      <c r="D611" s="146"/>
      <c r="E611" s="146"/>
      <c r="F611" s="146"/>
      <c r="K611" s="142"/>
    </row>
    <row r="612" spans="3:11">
      <c r="C612" s="20">
        <v>607</v>
      </c>
      <c r="D612" s="146"/>
      <c r="E612" s="146"/>
      <c r="F612" s="146"/>
      <c r="K612" s="142"/>
    </row>
    <row r="613" spans="3:11">
      <c r="C613" s="20">
        <v>608</v>
      </c>
      <c r="D613" s="146"/>
      <c r="E613" s="146"/>
      <c r="F613" s="146"/>
      <c r="K613" s="142"/>
    </row>
    <row r="614" spans="3:11">
      <c r="C614" s="20">
        <v>609</v>
      </c>
      <c r="D614" s="146"/>
      <c r="E614" s="146"/>
      <c r="F614" s="146"/>
      <c r="K614" s="142"/>
    </row>
    <row r="615" spans="3:11">
      <c r="C615" s="20">
        <v>610</v>
      </c>
      <c r="D615" s="146"/>
      <c r="E615" s="146"/>
      <c r="F615" s="146"/>
      <c r="K615" s="142"/>
    </row>
    <row r="616" spans="3:11">
      <c r="C616" s="20">
        <v>611</v>
      </c>
      <c r="D616" s="146"/>
      <c r="E616" s="146"/>
      <c r="F616" s="146"/>
      <c r="K616" s="142"/>
    </row>
    <row r="617" spans="3:11">
      <c r="C617" s="20">
        <v>612</v>
      </c>
      <c r="D617" s="146"/>
      <c r="E617" s="64"/>
      <c r="F617" s="146"/>
      <c r="K617" s="142"/>
    </row>
    <row r="618" spans="3:11">
      <c r="C618" s="20">
        <v>613</v>
      </c>
      <c r="D618" s="146"/>
      <c r="E618" s="64"/>
      <c r="K618" s="142"/>
    </row>
    <row r="619" spans="3:11" ht="13.5" thickBot="1">
      <c r="C619" s="20">
        <v>614</v>
      </c>
      <c r="D619" s="143"/>
      <c r="E619" s="144"/>
      <c r="F619" s="143"/>
      <c r="H619" s="144"/>
      <c r="I619" s="144"/>
      <c r="J619" s="144"/>
      <c r="K619" s="145"/>
    </row>
    <row r="620" spans="3:11" ht="22.5">
      <c r="C620" s="20">
        <v>615</v>
      </c>
      <c r="D620" s="113" t="s">
        <v>2551</v>
      </c>
      <c r="E620" s="114" t="s">
        <v>2551</v>
      </c>
      <c r="F620" s="113" t="s">
        <v>2552</v>
      </c>
      <c r="K620" s="142"/>
    </row>
    <row r="621" spans="3:11">
      <c r="C621" s="20">
        <v>616</v>
      </c>
      <c r="D621" s="147"/>
      <c r="E621" s="59"/>
      <c r="F621" s="219"/>
      <c r="K621" s="142"/>
    </row>
    <row r="622" spans="3:11">
      <c r="C622" s="20">
        <v>617</v>
      </c>
      <c r="D622" s="116" t="s">
        <v>2553</v>
      </c>
      <c r="E622" s="117" t="s">
        <v>2554</v>
      </c>
      <c r="F622" s="238" t="s">
        <v>2555</v>
      </c>
      <c r="K622" s="142"/>
    </row>
    <row r="623" spans="3:11">
      <c r="C623" s="20">
        <v>618</v>
      </c>
      <c r="D623" s="363" t="s">
        <v>2556</v>
      </c>
      <c r="E623" s="364" t="s">
        <v>2557</v>
      </c>
      <c r="F623" s="365" t="s">
        <v>2558</v>
      </c>
      <c r="K623" s="142"/>
    </row>
    <row r="624" spans="3:11">
      <c r="C624" s="20">
        <v>619</v>
      </c>
      <c r="D624" s="363" t="s">
        <v>2559</v>
      </c>
      <c r="E624" s="364" t="s">
        <v>2560</v>
      </c>
      <c r="F624" s="365" t="s">
        <v>2561</v>
      </c>
      <c r="K624" s="142"/>
    </row>
    <row r="625" spans="3:11">
      <c r="C625" s="20">
        <v>620</v>
      </c>
      <c r="D625" s="40" t="s">
        <v>1928</v>
      </c>
      <c r="E625" s="16" t="s">
        <v>1929</v>
      </c>
      <c r="F625" s="223" t="s">
        <v>1930</v>
      </c>
      <c r="K625" s="142"/>
    </row>
    <row r="626" spans="3:11" ht="25.5">
      <c r="C626" s="20">
        <v>621</v>
      </c>
      <c r="D626" s="169" t="s">
        <v>2562</v>
      </c>
      <c r="E626" s="253" t="s">
        <v>2563</v>
      </c>
      <c r="K626" s="142"/>
    </row>
    <row r="627" spans="3:11" ht="25.5">
      <c r="C627" s="20">
        <v>622</v>
      </c>
      <c r="D627" s="170" t="s">
        <v>2564</v>
      </c>
      <c r="E627" s="366" t="s">
        <v>2565</v>
      </c>
      <c r="F627" s="149" t="s">
        <v>2566</v>
      </c>
      <c r="K627" s="142"/>
    </row>
    <row r="628" spans="3:11" ht="51">
      <c r="C628" s="20">
        <v>623</v>
      </c>
      <c r="D628" s="168" t="s">
        <v>2567</v>
      </c>
      <c r="E628" s="169" t="s">
        <v>2568</v>
      </c>
      <c r="F628" s="168" t="s">
        <v>2569</v>
      </c>
      <c r="K628" s="142"/>
    </row>
    <row r="629" spans="3:11">
      <c r="C629" s="20">
        <v>624</v>
      </c>
      <c r="D629" s="367" t="s">
        <v>2570</v>
      </c>
      <c r="E629" s="368" t="s">
        <v>2571</v>
      </c>
      <c r="F629" s="169" t="s">
        <v>2572</v>
      </c>
      <c r="K629" s="142"/>
    </row>
    <row r="630" spans="3:11" ht="38.25">
      <c r="C630" s="20">
        <v>625</v>
      </c>
      <c r="D630" s="168" t="s">
        <v>2573</v>
      </c>
      <c r="E630" s="169" t="s">
        <v>2574</v>
      </c>
      <c r="F630" s="332" t="s">
        <v>2575</v>
      </c>
      <c r="K630" s="142"/>
    </row>
    <row r="631" spans="3:11" ht="96" customHeight="1">
      <c r="C631" s="20">
        <v>626</v>
      </c>
      <c r="D631" s="169" t="s">
        <v>2576</v>
      </c>
      <c r="E631" s="169" t="s">
        <v>2577</v>
      </c>
      <c r="F631" s="169" t="s">
        <v>2578</v>
      </c>
      <c r="K631" s="142"/>
    </row>
    <row r="632" spans="3:11" ht="85.5" customHeight="1">
      <c r="C632" s="20">
        <v>627</v>
      </c>
      <c r="D632" s="239" t="s">
        <v>2579</v>
      </c>
      <c r="E632" s="263" t="s">
        <v>2580</v>
      </c>
      <c r="F632" s="239" t="s">
        <v>2581</v>
      </c>
      <c r="K632" s="142"/>
    </row>
    <row r="633" spans="3:11">
      <c r="C633" s="20">
        <v>628</v>
      </c>
      <c r="D633" s="118" t="s">
        <v>1731</v>
      </c>
      <c r="E633" s="119" t="s">
        <v>1732</v>
      </c>
      <c r="F633" s="125" t="s">
        <v>2582</v>
      </c>
      <c r="K633" s="142"/>
    </row>
    <row r="634" spans="3:11">
      <c r="C634" s="20">
        <v>629</v>
      </c>
      <c r="D634" s="120" t="s">
        <v>2583</v>
      </c>
      <c r="E634" s="121" t="s">
        <v>2584</v>
      </c>
      <c r="F634" s="120" t="s">
        <v>2585</v>
      </c>
      <c r="K634" s="142"/>
    </row>
    <row r="635" spans="3:11">
      <c r="C635" s="20">
        <v>630</v>
      </c>
      <c r="D635" s="86" t="s">
        <v>2586</v>
      </c>
      <c r="E635" s="122" t="s">
        <v>2482</v>
      </c>
      <c r="F635" s="86" t="s">
        <v>2587</v>
      </c>
      <c r="K635" s="142"/>
    </row>
    <row r="636" spans="3:11">
      <c r="C636" s="20">
        <v>631</v>
      </c>
      <c r="D636" s="123" t="s">
        <v>2588</v>
      </c>
      <c r="E636" s="124" t="s">
        <v>2589</v>
      </c>
      <c r="F636" s="123" t="s">
        <v>2590</v>
      </c>
      <c r="K636" s="142"/>
    </row>
    <row r="637" spans="3:11" ht="25.5">
      <c r="C637" s="20">
        <v>632</v>
      </c>
      <c r="D637" s="125" t="s">
        <v>2591</v>
      </c>
      <c r="E637" s="126" t="s">
        <v>2592</v>
      </c>
      <c r="F637" s="125" t="s">
        <v>2593</v>
      </c>
      <c r="K637" s="142"/>
    </row>
    <row r="638" spans="3:11" ht="84">
      <c r="C638" s="20">
        <v>633</v>
      </c>
      <c r="D638" s="127" t="s">
        <v>2594</v>
      </c>
      <c r="E638" s="128" t="s">
        <v>2595</v>
      </c>
      <c r="F638" s="127" t="s">
        <v>2596</v>
      </c>
      <c r="K638" s="142"/>
    </row>
    <row r="639" spans="3:11">
      <c r="C639" s="20">
        <v>634</v>
      </c>
      <c r="D639" s="125" t="s">
        <v>2597</v>
      </c>
      <c r="E639" s="126" t="s">
        <v>2598</v>
      </c>
      <c r="F639" s="125" t="s">
        <v>2599</v>
      </c>
      <c r="K639" s="142"/>
    </row>
    <row r="640" spans="3:11" ht="84">
      <c r="C640" s="20">
        <v>635</v>
      </c>
      <c r="D640" s="127" t="s">
        <v>2600</v>
      </c>
      <c r="E640" s="128" t="s">
        <v>2601</v>
      </c>
      <c r="F640" s="127" t="s">
        <v>2602</v>
      </c>
      <c r="K640" s="142"/>
    </row>
    <row r="641" spans="3:11" ht="25.5">
      <c r="C641" s="20">
        <v>636</v>
      </c>
      <c r="D641" s="125" t="s">
        <v>2603</v>
      </c>
      <c r="E641" s="125" t="s">
        <v>2604</v>
      </c>
      <c r="F641" s="125" t="s">
        <v>2605</v>
      </c>
      <c r="K641" s="142"/>
    </row>
    <row r="642" spans="3:11" ht="60">
      <c r="C642" s="20">
        <v>637</v>
      </c>
      <c r="D642" s="127" t="s">
        <v>2606</v>
      </c>
      <c r="E642" s="128" t="s">
        <v>2607</v>
      </c>
      <c r="F642" s="127" t="s">
        <v>2608</v>
      </c>
      <c r="K642" s="142"/>
    </row>
    <row r="643" spans="3:11" ht="25.5">
      <c r="C643" s="20">
        <v>638</v>
      </c>
      <c r="D643" s="125" t="s">
        <v>2609</v>
      </c>
      <c r="E643" s="125" t="s">
        <v>2610</v>
      </c>
      <c r="F643" s="125" t="s">
        <v>2611</v>
      </c>
      <c r="K643" s="142"/>
    </row>
    <row r="644" spans="3:11" ht="60">
      <c r="C644" s="20">
        <v>639</v>
      </c>
      <c r="D644" s="127" t="s">
        <v>2612</v>
      </c>
      <c r="E644" s="128" t="s">
        <v>2613</v>
      </c>
      <c r="F644" s="127" t="s">
        <v>2614</v>
      </c>
      <c r="K644" s="142"/>
    </row>
    <row r="645" spans="3:11">
      <c r="C645" s="20">
        <v>640</v>
      </c>
      <c r="D645" s="125" t="s">
        <v>2615</v>
      </c>
      <c r="E645" s="126" t="s">
        <v>2616</v>
      </c>
      <c r="F645" s="125" t="s">
        <v>2617</v>
      </c>
      <c r="K645" s="142"/>
    </row>
    <row r="646" spans="3:11" ht="36">
      <c r="C646" s="20">
        <v>641</v>
      </c>
      <c r="D646" s="127" t="s">
        <v>2618</v>
      </c>
      <c r="E646" s="128" t="s">
        <v>2619</v>
      </c>
      <c r="F646" s="127" t="s">
        <v>2620</v>
      </c>
      <c r="K646" s="142"/>
    </row>
    <row r="647" spans="3:11">
      <c r="C647" s="20">
        <v>642</v>
      </c>
      <c r="D647" s="125" t="s">
        <v>2621</v>
      </c>
      <c r="E647" s="126" t="s">
        <v>2622</v>
      </c>
      <c r="F647" s="125" t="s">
        <v>2623</v>
      </c>
      <c r="K647" s="142"/>
    </row>
    <row r="648" spans="3:11" ht="36">
      <c r="C648" s="20">
        <v>643</v>
      </c>
      <c r="D648" s="127" t="s">
        <v>2624</v>
      </c>
      <c r="E648" s="128" t="s">
        <v>2625</v>
      </c>
      <c r="F648" s="127" t="s">
        <v>2626</v>
      </c>
      <c r="K648" s="142"/>
    </row>
    <row r="649" spans="3:11">
      <c r="C649" s="20">
        <v>644</v>
      </c>
      <c r="D649" s="125" t="s">
        <v>2627</v>
      </c>
      <c r="E649" s="126" t="s">
        <v>2628</v>
      </c>
      <c r="F649" s="125" t="s">
        <v>2629</v>
      </c>
      <c r="K649" s="142"/>
    </row>
    <row r="650" spans="3:11" ht="24">
      <c r="C650" s="20">
        <v>645</v>
      </c>
      <c r="D650" s="127" t="s">
        <v>2630</v>
      </c>
      <c r="E650" s="128" t="s">
        <v>2631</v>
      </c>
      <c r="F650" s="127" t="s">
        <v>2632</v>
      </c>
      <c r="K650" s="142"/>
    </row>
    <row r="651" spans="3:11" ht="25.5">
      <c r="C651" s="20">
        <v>646</v>
      </c>
      <c r="D651" s="125" t="s">
        <v>2633</v>
      </c>
      <c r="E651" s="125" t="s">
        <v>2634</v>
      </c>
      <c r="F651" s="125" t="s">
        <v>2635</v>
      </c>
      <c r="K651" s="142"/>
    </row>
    <row r="652" spans="3:11" ht="36">
      <c r="C652" s="20">
        <v>647</v>
      </c>
      <c r="D652" s="127" t="s">
        <v>2636</v>
      </c>
      <c r="E652" s="128" t="s">
        <v>2637</v>
      </c>
      <c r="F652" s="127" t="s">
        <v>2638</v>
      </c>
      <c r="K652" s="142"/>
    </row>
    <row r="653" spans="3:11">
      <c r="C653" s="20">
        <v>648</v>
      </c>
      <c r="D653" s="125" t="s">
        <v>2639</v>
      </c>
      <c r="E653" s="126" t="s">
        <v>2640</v>
      </c>
      <c r="F653" s="125" t="s">
        <v>2641</v>
      </c>
      <c r="K653" s="142"/>
    </row>
    <row r="654" spans="3:11" ht="48">
      <c r="C654" s="20">
        <v>649</v>
      </c>
      <c r="D654" s="127" t="s">
        <v>2642</v>
      </c>
      <c r="E654" s="128" t="s">
        <v>2643</v>
      </c>
      <c r="F654" s="127" t="s">
        <v>2644</v>
      </c>
      <c r="K654" s="142"/>
    </row>
    <row r="655" spans="3:11" ht="25.5">
      <c r="C655" s="20">
        <v>650</v>
      </c>
      <c r="D655" s="125" t="s">
        <v>2645</v>
      </c>
      <c r="E655" s="126" t="s">
        <v>2646</v>
      </c>
      <c r="F655" s="125" t="s">
        <v>2647</v>
      </c>
      <c r="K655" s="142"/>
    </row>
    <row r="656" spans="3:11" ht="48">
      <c r="C656" s="20">
        <v>651</v>
      </c>
      <c r="D656" s="127" t="s">
        <v>2648</v>
      </c>
      <c r="E656" s="128" t="s">
        <v>2649</v>
      </c>
      <c r="F656" s="127" t="s">
        <v>2650</v>
      </c>
      <c r="K656" s="142"/>
    </row>
    <row r="657" spans="3:11">
      <c r="C657" s="20">
        <v>652</v>
      </c>
      <c r="D657" s="125" t="s">
        <v>2651</v>
      </c>
      <c r="E657" s="126" t="s">
        <v>2652</v>
      </c>
      <c r="F657" s="125" t="s">
        <v>2653</v>
      </c>
      <c r="K657" s="142"/>
    </row>
    <row r="658" spans="3:11" ht="72">
      <c r="C658" s="20">
        <v>653</v>
      </c>
      <c r="D658" s="127" t="s">
        <v>2654</v>
      </c>
      <c r="E658" s="128" t="s">
        <v>2655</v>
      </c>
      <c r="F658" s="127" t="s">
        <v>2656</v>
      </c>
      <c r="K658" s="142"/>
    </row>
    <row r="659" spans="3:11">
      <c r="C659" s="20">
        <v>654</v>
      </c>
      <c r="D659" s="125" t="s">
        <v>2657</v>
      </c>
      <c r="E659" s="126" t="s">
        <v>2658</v>
      </c>
      <c r="F659" s="125" t="s">
        <v>2659</v>
      </c>
      <c r="K659" s="142"/>
    </row>
    <row r="660" spans="3:11" ht="24">
      <c r="C660" s="20">
        <v>655</v>
      </c>
      <c r="D660" s="127" t="s">
        <v>2660</v>
      </c>
      <c r="E660" s="128" t="s">
        <v>2658</v>
      </c>
      <c r="F660" s="127" t="s">
        <v>2661</v>
      </c>
      <c r="K660" s="142"/>
    </row>
    <row r="661" spans="3:11" ht="25.5">
      <c r="C661" s="20">
        <v>656</v>
      </c>
      <c r="D661" s="125" t="s">
        <v>2662</v>
      </c>
      <c r="E661" s="126" t="s">
        <v>2663</v>
      </c>
      <c r="F661" s="125" t="s">
        <v>2664</v>
      </c>
      <c r="K661" s="142"/>
    </row>
    <row r="662" spans="3:11" ht="36">
      <c r="C662" s="20">
        <v>657</v>
      </c>
      <c r="D662" s="127" t="s">
        <v>2665</v>
      </c>
      <c r="E662" s="128" t="s">
        <v>2666</v>
      </c>
      <c r="F662" s="127" t="s">
        <v>2667</v>
      </c>
      <c r="K662" s="142"/>
    </row>
    <row r="663" spans="3:11">
      <c r="C663" s="20">
        <v>658</v>
      </c>
      <c r="D663" s="125" t="s">
        <v>2668</v>
      </c>
      <c r="E663" s="126" t="s">
        <v>2669</v>
      </c>
      <c r="F663" s="125" t="s">
        <v>2670</v>
      </c>
      <c r="K663" s="142"/>
    </row>
    <row r="664" spans="3:11" ht="48">
      <c r="C664" s="20">
        <v>659</v>
      </c>
      <c r="D664" s="127" t="s">
        <v>2671</v>
      </c>
      <c r="E664" s="128" t="s">
        <v>2672</v>
      </c>
      <c r="F664" s="127" t="s">
        <v>2673</v>
      </c>
      <c r="K664" s="142"/>
    </row>
    <row r="665" spans="3:11" ht="25.5">
      <c r="C665" s="20">
        <v>660</v>
      </c>
      <c r="D665" s="125" t="s">
        <v>2674</v>
      </c>
      <c r="E665" s="126" t="s">
        <v>2675</v>
      </c>
      <c r="F665" s="125" t="s">
        <v>2635</v>
      </c>
      <c r="K665" s="142"/>
    </row>
    <row r="666" spans="3:11" ht="36">
      <c r="C666" s="20">
        <v>661</v>
      </c>
      <c r="D666" s="127" t="s">
        <v>2676</v>
      </c>
      <c r="E666" s="128" t="s">
        <v>2677</v>
      </c>
      <c r="F666" s="127" t="s">
        <v>2678</v>
      </c>
      <c r="K666" s="142"/>
    </row>
    <row r="667" spans="3:11">
      <c r="C667" s="20">
        <v>662</v>
      </c>
      <c r="D667" s="146"/>
      <c r="E667" s="64"/>
      <c r="F667" s="146"/>
      <c r="K667" s="142"/>
    </row>
    <row r="668" spans="3:11" ht="76.5">
      <c r="C668" s="20">
        <v>663</v>
      </c>
      <c r="D668" s="240" t="s">
        <v>2679</v>
      </c>
      <c r="E668" s="240" t="s">
        <v>2680</v>
      </c>
      <c r="F668" s="240" t="s">
        <v>2681</v>
      </c>
      <c r="K668" s="142"/>
    </row>
    <row r="669" spans="3:11">
      <c r="C669" s="20">
        <v>664</v>
      </c>
      <c r="D669" s="146"/>
      <c r="E669" s="64"/>
      <c r="F669" s="146"/>
      <c r="K669" s="142"/>
    </row>
    <row r="670" spans="3:11">
      <c r="C670" s="20">
        <v>665</v>
      </c>
      <c r="D670" s="146"/>
      <c r="E670" s="64"/>
      <c r="F670" s="146"/>
      <c r="K670" s="142"/>
    </row>
    <row r="671" spans="3:11">
      <c r="C671" s="20">
        <v>666</v>
      </c>
      <c r="D671" s="118" t="s">
        <v>1731</v>
      </c>
      <c r="E671" s="119" t="s">
        <v>1732</v>
      </c>
      <c r="F671" s="125" t="s">
        <v>2582</v>
      </c>
      <c r="K671" s="142"/>
    </row>
    <row r="672" spans="3:11">
      <c r="C672" s="20">
        <v>667</v>
      </c>
      <c r="D672" s="120" t="s">
        <v>2583</v>
      </c>
      <c r="E672" s="121" t="s">
        <v>2584</v>
      </c>
      <c r="F672" s="120" t="s">
        <v>2682</v>
      </c>
      <c r="K672" s="142"/>
    </row>
    <row r="673" spans="3:11">
      <c r="C673" s="20">
        <v>668</v>
      </c>
      <c r="D673" s="86" t="s">
        <v>1178</v>
      </c>
      <c r="E673" s="122" t="s">
        <v>2683</v>
      </c>
      <c r="F673" s="86" t="s">
        <v>2587</v>
      </c>
      <c r="K673" s="142"/>
    </row>
    <row r="674" spans="3:11">
      <c r="C674" s="20">
        <v>669</v>
      </c>
      <c r="D674" s="123" t="s">
        <v>2684</v>
      </c>
      <c r="E674" s="124" t="s">
        <v>2685</v>
      </c>
      <c r="F674" s="123" t="s">
        <v>2590</v>
      </c>
      <c r="K674" s="142"/>
    </row>
    <row r="675" spans="3:11" ht="25.5">
      <c r="C675" s="20">
        <v>670</v>
      </c>
      <c r="D675" s="125" t="s">
        <v>2603</v>
      </c>
      <c r="E675" s="126" t="s">
        <v>2604</v>
      </c>
      <c r="F675" s="125" t="s">
        <v>2605</v>
      </c>
      <c r="K675" s="142"/>
    </row>
    <row r="676" spans="3:11" ht="60">
      <c r="C676" s="20">
        <v>671</v>
      </c>
      <c r="D676" s="127" t="s">
        <v>2686</v>
      </c>
      <c r="E676" s="128" t="s">
        <v>2687</v>
      </c>
      <c r="F676" s="127" t="s">
        <v>2688</v>
      </c>
      <c r="K676" s="142"/>
    </row>
    <row r="677" spans="3:11" ht="25.5">
      <c r="C677" s="20">
        <v>672</v>
      </c>
      <c r="D677" s="125" t="s">
        <v>2609</v>
      </c>
      <c r="E677" s="126" t="s">
        <v>2610</v>
      </c>
      <c r="F677" s="125" t="s">
        <v>2611</v>
      </c>
      <c r="K677" s="142"/>
    </row>
    <row r="678" spans="3:11" ht="60">
      <c r="C678" s="20">
        <v>673</v>
      </c>
      <c r="D678" s="127" t="s">
        <v>2689</v>
      </c>
      <c r="E678" s="128" t="s">
        <v>2690</v>
      </c>
      <c r="F678" s="127" t="s">
        <v>2691</v>
      </c>
      <c r="K678" s="142"/>
    </row>
    <row r="679" spans="3:11">
      <c r="C679" s="20">
        <v>674</v>
      </c>
      <c r="D679" s="125" t="s">
        <v>2615</v>
      </c>
      <c r="E679" s="126" t="s">
        <v>2616</v>
      </c>
      <c r="F679" s="125" t="s">
        <v>2617</v>
      </c>
      <c r="K679" s="142"/>
    </row>
    <row r="680" spans="3:11" ht="36">
      <c r="C680" s="20">
        <v>675</v>
      </c>
      <c r="D680" s="127" t="s">
        <v>2692</v>
      </c>
      <c r="E680" s="128" t="s">
        <v>2693</v>
      </c>
      <c r="F680" s="127" t="s">
        <v>2620</v>
      </c>
      <c r="K680" s="142"/>
    </row>
    <row r="681" spans="3:11">
      <c r="C681" s="20">
        <v>676</v>
      </c>
      <c r="D681" s="125" t="s">
        <v>2621</v>
      </c>
      <c r="E681" s="126" t="s">
        <v>2622</v>
      </c>
      <c r="F681" s="125" t="s">
        <v>2623</v>
      </c>
      <c r="K681" s="142"/>
    </row>
    <row r="682" spans="3:11" ht="36">
      <c r="C682" s="20">
        <v>677</v>
      </c>
      <c r="D682" s="127" t="s">
        <v>2694</v>
      </c>
      <c r="E682" s="128" t="s">
        <v>2695</v>
      </c>
      <c r="F682" s="127" t="s">
        <v>2626</v>
      </c>
      <c r="K682" s="142"/>
    </row>
    <row r="683" spans="3:11">
      <c r="C683" s="20">
        <v>678</v>
      </c>
      <c r="D683" s="125" t="s">
        <v>2627</v>
      </c>
      <c r="E683" s="126" t="s">
        <v>2628</v>
      </c>
      <c r="F683" s="125" t="s">
        <v>2629</v>
      </c>
      <c r="K683" s="142"/>
    </row>
    <row r="684" spans="3:11" ht="24">
      <c r="C684" s="20">
        <v>679</v>
      </c>
      <c r="D684" s="127" t="s">
        <v>2696</v>
      </c>
      <c r="E684" s="128" t="s">
        <v>2631</v>
      </c>
      <c r="F684" s="127" t="s">
        <v>2697</v>
      </c>
      <c r="K684" s="142"/>
    </row>
    <row r="685" spans="3:11" ht="25.5">
      <c r="C685" s="20">
        <v>680</v>
      </c>
      <c r="D685" s="125" t="s">
        <v>2633</v>
      </c>
      <c r="E685" s="126" t="s">
        <v>2634</v>
      </c>
      <c r="F685" s="125" t="s">
        <v>2635</v>
      </c>
      <c r="K685" s="142"/>
    </row>
    <row r="686" spans="3:11" ht="36">
      <c r="C686" s="20">
        <v>681</v>
      </c>
      <c r="D686" s="127" t="s">
        <v>2698</v>
      </c>
      <c r="E686" s="128" t="s">
        <v>2699</v>
      </c>
      <c r="F686" s="127" t="s">
        <v>2700</v>
      </c>
      <c r="K686" s="142"/>
    </row>
    <row r="687" spans="3:11">
      <c r="C687" s="20">
        <v>682</v>
      </c>
      <c r="D687" s="125" t="s">
        <v>2639</v>
      </c>
      <c r="E687" s="126" t="s">
        <v>2640</v>
      </c>
      <c r="F687" s="125" t="s">
        <v>2641</v>
      </c>
      <c r="K687" s="142"/>
    </row>
    <row r="688" spans="3:11" ht="48">
      <c r="C688" s="20">
        <v>683</v>
      </c>
      <c r="D688" s="127" t="s">
        <v>2701</v>
      </c>
      <c r="E688" s="128" t="s">
        <v>2702</v>
      </c>
      <c r="F688" s="127" t="s">
        <v>2703</v>
      </c>
      <c r="K688" s="142"/>
    </row>
    <row r="689" spans="3:11" ht="25.5">
      <c r="C689" s="20">
        <v>684</v>
      </c>
      <c r="D689" s="125" t="s">
        <v>2645</v>
      </c>
      <c r="E689" s="126" t="s">
        <v>2646</v>
      </c>
      <c r="F689" s="125" t="s">
        <v>2647</v>
      </c>
      <c r="K689" s="142"/>
    </row>
    <row r="690" spans="3:11" ht="48">
      <c r="C690" s="20">
        <v>685</v>
      </c>
      <c r="D690" s="127" t="s">
        <v>2704</v>
      </c>
      <c r="E690" s="128" t="s">
        <v>2705</v>
      </c>
      <c r="F690" s="127" t="s">
        <v>2706</v>
      </c>
      <c r="K690" s="142"/>
    </row>
    <row r="691" spans="3:11">
      <c r="C691" s="20">
        <v>686</v>
      </c>
      <c r="D691" s="125" t="s">
        <v>2651</v>
      </c>
      <c r="E691" s="126" t="s">
        <v>2652</v>
      </c>
      <c r="F691" s="125" t="s">
        <v>2653</v>
      </c>
      <c r="K691" s="142"/>
    </row>
    <row r="692" spans="3:11" ht="72">
      <c r="C692" s="20">
        <v>687</v>
      </c>
      <c r="D692" s="127" t="s">
        <v>2654</v>
      </c>
      <c r="E692" s="128" t="s">
        <v>2655</v>
      </c>
      <c r="F692" s="127" t="s">
        <v>2656</v>
      </c>
      <c r="K692" s="142"/>
    </row>
    <row r="693" spans="3:11">
      <c r="C693" s="20">
        <v>688</v>
      </c>
      <c r="D693" s="125" t="s">
        <v>2657</v>
      </c>
      <c r="E693" s="126" t="s">
        <v>2658</v>
      </c>
      <c r="F693" s="125" t="s">
        <v>2659</v>
      </c>
      <c r="K693" s="142"/>
    </row>
    <row r="694" spans="3:11" ht="24">
      <c r="C694" s="20">
        <v>689</v>
      </c>
      <c r="D694" s="127" t="s">
        <v>2660</v>
      </c>
      <c r="E694" s="128" t="s">
        <v>2658</v>
      </c>
      <c r="F694" s="127" t="s">
        <v>2661</v>
      </c>
      <c r="K694" s="142"/>
    </row>
    <row r="695" spans="3:11" ht="25.5">
      <c r="C695" s="20">
        <v>690</v>
      </c>
      <c r="D695" s="125" t="s">
        <v>2662</v>
      </c>
      <c r="E695" s="126" t="s">
        <v>2663</v>
      </c>
      <c r="F695" s="125" t="s">
        <v>2664</v>
      </c>
      <c r="K695" s="142"/>
    </row>
    <row r="696" spans="3:11" ht="36">
      <c r="C696" s="20">
        <v>691</v>
      </c>
      <c r="D696" s="127" t="s">
        <v>2665</v>
      </c>
      <c r="E696" s="128" t="s">
        <v>2666</v>
      </c>
      <c r="F696" s="127" t="s">
        <v>2667</v>
      </c>
      <c r="K696" s="142"/>
    </row>
    <row r="697" spans="3:11">
      <c r="C697" s="20">
        <v>692</v>
      </c>
      <c r="D697" s="125" t="s">
        <v>2668</v>
      </c>
      <c r="E697" s="126" t="s">
        <v>2669</v>
      </c>
      <c r="F697" s="125" t="s">
        <v>2670</v>
      </c>
      <c r="K697" s="142"/>
    </row>
    <row r="698" spans="3:11" ht="48">
      <c r="C698" s="20">
        <v>693</v>
      </c>
      <c r="D698" s="127" t="s">
        <v>2707</v>
      </c>
      <c r="E698" s="128" t="s">
        <v>2672</v>
      </c>
      <c r="F698" s="127" t="s">
        <v>2673</v>
      </c>
      <c r="K698" s="142"/>
    </row>
    <row r="699" spans="3:11" ht="25.5">
      <c r="C699" s="20">
        <v>694</v>
      </c>
      <c r="D699" s="125" t="s">
        <v>2674</v>
      </c>
      <c r="E699" s="126" t="s">
        <v>2675</v>
      </c>
      <c r="F699" s="125" t="s">
        <v>2635</v>
      </c>
      <c r="K699" s="142"/>
    </row>
    <row r="700" spans="3:11" ht="36">
      <c r="C700" s="20">
        <v>695</v>
      </c>
      <c r="D700" s="127" t="s">
        <v>2676</v>
      </c>
      <c r="E700" s="128" t="s">
        <v>2677</v>
      </c>
      <c r="F700" s="127" t="s">
        <v>2678</v>
      </c>
      <c r="K700" s="142"/>
    </row>
    <row r="701" spans="3:11">
      <c r="C701" s="20">
        <v>696</v>
      </c>
      <c r="D701" s="146"/>
      <c r="E701" s="64"/>
      <c r="F701" s="146"/>
      <c r="K701" s="142"/>
    </row>
    <row r="702" spans="3:11" ht="25.5">
      <c r="C702" s="20">
        <v>697</v>
      </c>
      <c r="D702" s="129" t="s">
        <v>2708</v>
      </c>
      <c r="E702" s="129" t="s">
        <v>2709</v>
      </c>
      <c r="F702" s="240" t="s">
        <v>2710</v>
      </c>
      <c r="K702" s="142"/>
    </row>
    <row r="703" spans="3:11">
      <c r="C703" s="20">
        <v>698</v>
      </c>
      <c r="D703" s="146"/>
      <c r="E703" s="64"/>
      <c r="F703" s="146"/>
      <c r="K703" s="142"/>
    </row>
    <row r="704" spans="3:11">
      <c r="C704" s="20">
        <v>699</v>
      </c>
      <c r="D704" s="146"/>
      <c r="E704" s="64"/>
      <c r="F704" s="146"/>
      <c r="K704" s="142"/>
    </row>
    <row r="705" spans="3:11">
      <c r="C705" s="20">
        <v>700</v>
      </c>
      <c r="D705" s="118" t="s">
        <v>1731</v>
      </c>
      <c r="E705" s="119" t="s">
        <v>1732</v>
      </c>
      <c r="F705" s="125" t="s">
        <v>1733</v>
      </c>
      <c r="K705" s="142"/>
    </row>
    <row r="706" spans="3:11">
      <c r="C706" s="20">
        <v>701</v>
      </c>
      <c r="D706" s="120" t="s">
        <v>2711</v>
      </c>
      <c r="E706" s="121" t="s">
        <v>2712</v>
      </c>
      <c r="F706" s="120" t="s">
        <v>2713</v>
      </c>
      <c r="K706" s="142"/>
    </row>
    <row r="707" spans="3:11">
      <c r="C707" s="20">
        <v>702</v>
      </c>
      <c r="D707" s="86" t="s">
        <v>1178</v>
      </c>
      <c r="E707" s="122" t="s">
        <v>2683</v>
      </c>
      <c r="F707" s="86" t="s">
        <v>2587</v>
      </c>
      <c r="K707" s="142"/>
    </row>
    <row r="708" spans="3:11" ht="24">
      <c r="C708" s="20">
        <v>703</v>
      </c>
      <c r="D708" s="123" t="s">
        <v>2714</v>
      </c>
      <c r="E708" s="124" t="s">
        <v>2715</v>
      </c>
      <c r="F708" s="123" t="s">
        <v>2716</v>
      </c>
      <c r="K708" s="142"/>
    </row>
    <row r="709" spans="3:11" ht="25.5">
      <c r="C709" s="20">
        <v>704</v>
      </c>
      <c r="D709" s="125" t="s">
        <v>2717</v>
      </c>
      <c r="E709" s="126" t="s">
        <v>2718</v>
      </c>
      <c r="F709" s="125" t="s">
        <v>2719</v>
      </c>
      <c r="K709" s="142"/>
    </row>
    <row r="710" spans="3:11" ht="60">
      <c r="C710" s="20">
        <v>705</v>
      </c>
      <c r="D710" s="127" t="s">
        <v>2720</v>
      </c>
      <c r="E710" s="128" t="s">
        <v>2721</v>
      </c>
      <c r="F710" s="127" t="s">
        <v>2722</v>
      </c>
      <c r="K710" s="142"/>
    </row>
    <row r="711" spans="3:11">
      <c r="C711" s="20">
        <v>706</v>
      </c>
      <c r="D711" s="125" t="s">
        <v>2723</v>
      </c>
      <c r="E711" s="126" t="s">
        <v>2724</v>
      </c>
      <c r="F711" s="125" t="s">
        <v>2725</v>
      </c>
      <c r="K711" s="142"/>
    </row>
    <row r="712" spans="3:11" ht="84">
      <c r="C712" s="20">
        <v>707</v>
      </c>
      <c r="D712" s="127" t="s">
        <v>2726</v>
      </c>
      <c r="E712" s="127" t="s">
        <v>2727</v>
      </c>
      <c r="F712" s="127" t="s">
        <v>2728</v>
      </c>
      <c r="K712" s="142"/>
    </row>
    <row r="713" spans="3:11">
      <c r="C713" s="20">
        <v>708</v>
      </c>
      <c r="D713" s="125" t="s">
        <v>2651</v>
      </c>
      <c r="E713" s="126" t="s">
        <v>2652</v>
      </c>
      <c r="F713" s="125" t="s">
        <v>2653</v>
      </c>
      <c r="K713" s="142"/>
    </row>
    <row r="714" spans="3:11" ht="36">
      <c r="C714" s="20">
        <v>709</v>
      </c>
      <c r="D714" s="127" t="s">
        <v>2729</v>
      </c>
      <c r="E714" s="128" t="s">
        <v>2730</v>
      </c>
      <c r="F714" s="127" t="s">
        <v>2731</v>
      </c>
      <c r="K714" s="142"/>
    </row>
    <row r="715" spans="3:11">
      <c r="C715" s="20">
        <v>710</v>
      </c>
      <c r="D715" s="125" t="s">
        <v>2657</v>
      </c>
      <c r="E715" s="126" t="s">
        <v>2658</v>
      </c>
      <c r="F715" s="125" t="s">
        <v>2659</v>
      </c>
      <c r="K715" s="142"/>
    </row>
    <row r="716" spans="3:11" ht="24">
      <c r="C716" s="20">
        <v>711</v>
      </c>
      <c r="D716" s="127" t="s">
        <v>2660</v>
      </c>
      <c r="E716" s="127" t="s">
        <v>2658</v>
      </c>
      <c r="F716" s="127" t="s">
        <v>2661</v>
      </c>
      <c r="K716" s="142"/>
    </row>
    <row r="717" spans="3:11" ht="25.5">
      <c r="C717" s="20">
        <v>712</v>
      </c>
      <c r="D717" s="125" t="s">
        <v>2662</v>
      </c>
      <c r="E717" s="126" t="s">
        <v>2663</v>
      </c>
      <c r="F717" s="125" t="s">
        <v>2664</v>
      </c>
      <c r="K717" s="142"/>
    </row>
    <row r="718" spans="3:11" ht="36">
      <c r="C718" s="20">
        <v>713</v>
      </c>
      <c r="D718" s="127" t="s">
        <v>2665</v>
      </c>
      <c r="E718" s="128" t="s">
        <v>2666</v>
      </c>
      <c r="F718" s="127" t="s">
        <v>2667</v>
      </c>
      <c r="K718" s="142"/>
    </row>
    <row r="719" spans="3:11">
      <c r="C719" s="20">
        <v>714</v>
      </c>
      <c r="D719" s="125" t="s">
        <v>2668</v>
      </c>
      <c r="E719" s="126" t="s">
        <v>2669</v>
      </c>
      <c r="F719" s="125" t="s">
        <v>2670</v>
      </c>
      <c r="K719" s="142"/>
    </row>
    <row r="720" spans="3:11" ht="60">
      <c r="C720" s="20">
        <v>715</v>
      </c>
      <c r="D720" s="127" t="s">
        <v>2732</v>
      </c>
      <c r="E720" s="128" t="s">
        <v>2733</v>
      </c>
      <c r="F720" s="127" t="s">
        <v>2673</v>
      </c>
      <c r="K720" s="142"/>
    </row>
    <row r="721" spans="3:11" ht="25.5">
      <c r="C721" s="20">
        <v>716</v>
      </c>
      <c r="D721" s="125" t="s">
        <v>2674</v>
      </c>
      <c r="E721" s="126" t="s">
        <v>2675</v>
      </c>
      <c r="F721" s="125" t="s">
        <v>2635</v>
      </c>
      <c r="K721" s="142"/>
    </row>
    <row r="722" spans="3:11" ht="37.9" customHeight="1">
      <c r="C722" s="20">
        <v>717</v>
      </c>
      <c r="D722" s="127" t="s">
        <v>2734</v>
      </c>
      <c r="E722" s="128" t="s">
        <v>2735</v>
      </c>
      <c r="F722" s="127" t="s">
        <v>2678</v>
      </c>
      <c r="K722" s="142"/>
    </row>
    <row r="723" spans="3:11">
      <c r="C723" s="20">
        <v>718</v>
      </c>
      <c r="D723" s="146" t="s">
        <v>2736</v>
      </c>
      <c r="E723" s="64" t="s">
        <v>2737</v>
      </c>
      <c r="F723" s="146" t="s">
        <v>2738</v>
      </c>
      <c r="K723" s="142"/>
    </row>
    <row r="724" spans="3:11" ht="51">
      <c r="C724" s="20">
        <v>719</v>
      </c>
      <c r="D724" s="146" t="s">
        <v>2739</v>
      </c>
      <c r="E724" s="64" t="s">
        <v>2740</v>
      </c>
      <c r="F724" s="146" t="s">
        <v>2741</v>
      </c>
      <c r="K724" s="142"/>
    </row>
    <row r="725" spans="3:11" ht="25.5">
      <c r="C725" s="20">
        <v>720</v>
      </c>
      <c r="D725" s="115" t="s">
        <v>2742</v>
      </c>
      <c r="E725" s="115" t="s">
        <v>2743</v>
      </c>
      <c r="F725" s="240" t="s">
        <v>2744</v>
      </c>
      <c r="K725" s="142"/>
    </row>
    <row r="726" spans="3:11">
      <c r="C726" s="20">
        <v>721</v>
      </c>
      <c r="D726" s="146"/>
      <c r="E726" s="64"/>
      <c r="F726" s="146"/>
      <c r="K726" s="142"/>
    </row>
    <row r="727" spans="3:11">
      <c r="C727" s="20">
        <v>722</v>
      </c>
      <c r="D727" s="146"/>
      <c r="E727" s="64"/>
      <c r="F727" s="146"/>
      <c r="K727" s="142"/>
    </row>
    <row r="728" spans="3:11">
      <c r="C728" s="20">
        <v>723</v>
      </c>
      <c r="D728" s="118" t="s">
        <v>1731</v>
      </c>
      <c r="E728" s="119" t="s">
        <v>1732</v>
      </c>
      <c r="F728" s="125" t="s">
        <v>1733</v>
      </c>
      <c r="K728" s="142"/>
    </row>
    <row r="729" spans="3:11">
      <c r="C729" s="20">
        <v>724</v>
      </c>
      <c r="D729" s="120" t="s">
        <v>2711</v>
      </c>
      <c r="E729" s="121" t="s">
        <v>2712</v>
      </c>
      <c r="F729" s="120" t="s">
        <v>2713</v>
      </c>
      <c r="K729" s="142"/>
    </row>
    <row r="730" spans="3:11">
      <c r="C730" s="20">
        <v>725</v>
      </c>
      <c r="D730" s="125" t="s">
        <v>1178</v>
      </c>
      <c r="E730" s="122" t="s">
        <v>2683</v>
      </c>
      <c r="F730" s="86" t="s">
        <v>2587</v>
      </c>
      <c r="K730" s="142"/>
    </row>
    <row r="731" spans="3:11" ht="24">
      <c r="C731" s="20">
        <v>726</v>
      </c>
      <c r="D731" s="127" t="s">
        <v>2714</v>
      </c>
      <c r="E731" s="124" t="s">
        <v>2715</v>
      </c>
      <c r="F731" s="123" t="s">
        <v>2716</v>
      </c>
      <c r="K731" s="142"/>
    </row>
    <row r="732" spans="3:11" ht="25.5">
      <c r="C732" s="20">
        <v>727</v>
      </c>
      <c r="D732" s="125" t="s">
        <v>2717</v>
      </c>
      <c r="E732" s="126" t="s">
        <v>2718</v>
      </c>
      <c r="F732" s="125" t="s">
        <v>2719</v>
      </c>
      <c r="K732" s="142"/>
    </row>
    <row r="733" spans="3:11" ht="48">
      <c r="C733" s="20">
        <v>728</v>
      </c>
      <c r="D733" s="127" t="s">
        <v>2745</v>
      </c>
      <c r="E733" s="128" t="s">
        <v>2746</v>
      </c>
      <c r="F733" s="127" t="s">
        <v>2747</v>
      </c>
      <c r="K733" s="142"/>
    </row>
    <row r="734" spans="3:11">
      <c r="C734" s="20">
        <v>729</v>
      </c>
      <c r="D734" s="125" t="s">
        <v>2723</v>
      </c>
      <c r="E734" s="126" t="s">
        <v>2724</v>
      </c>
      <c r="F734" s="125" t="s">
        <v>2725</v>
      </c>
      <c r="K734" s="142"/>
    </row>
    <row r="735" spans="3:11" ht="72">
      <c r="C735" s="20">
        <v>730</v>
      </c>
      <c r="D735" s="127" t="s">
        <v>2748</v>
      </c>
      <c r="E735" s="128" t="s">
        <v>2749</v>
      </c>
      <c r="F735" s="127" t="s">
        <v>2750</v>
      </c>
      <c r="K735" s="142"/>
    </row>
    <row r="736" spans="3:11">
      <c r="C736" s="20">
        <v>731</v>
      </c>
      <c r="D736" s="125" t="s">
        <v>2651</v>
      </c>
      <c r="E736" s="126" t="s">
        <v>2652</v>
      </c>
      <c r="F736" s="125" t="s">
        <v>2653</v>
      </c>
      <c r="K736" s="142"/>
    </row>
    <row r="737" spans="3:11" ht="36">
      <c r="C737" s="20">
        <v>732</v>
      </c>
      <c r="D737" s="127" t="s">
        <v>2729</v>
      </c>
      <c r="E737" s="128" t="s">
        <v>2730</v>
      </c>
      <c r="F737" s="127" t="s">
        <v>2731</v>
      </c>
      <c r="K737" s="142"/>
    </row>
    <row r="738" spans="3:11">
      <c r="C738" s="20">
        <v>733</v>
      </c>
      <c r="D738" s="125" t="s">
        <v>2657</v>
      </c>
      <c r="E738" s="126" t="s">
        <v>2658</v>
      </c>
      <c r="F738" s="125" t="s">
        <v>2659</v>
      </c>
      <c r="K738" s="142"/>
    </row>
    <row r="739" spans="3:11" ht="24">
      <c r="C739" s="20">
        <v>734</v>
      </c>
      <c r="D739" s="127" t="s">
        <v>2660</v>
      </c>
      <c r="E739" s="127" t="s">
        <v>2658</v>
      </c>
      <c r="F739" s="127" t="s">
        <v>2661</v>
      </c>
      <c r="K739" s="142"/>
    </row>
    <row r="740" spans="3:11" ht="25.5">
      <c r="C740" s="20">
        <v>735</v>
      </c>
      <c r="D740" s="125" t="s">
        <v>2662</v>
      </c>
      <c r="E740" s="126" t="s">
        <v>2663</v>
      </c>
      <c r="F740" s="125" t="s">
        <v>2664</v>
      </c>
      <c r="K740" s="142"/>
    </row>
    <row r="741" spans="3:11" ht="36">
      <c r="C741" s="20">
        <v>736</v>
      </c>
      <c r="D741" s="127" t="s">
        <v>2665</v>
      </c>
      <c r="E741" s="128" t="s">
        <v>2751</v>
      </c>
      <c r="F741" s="127" t="s">
        <v>2667</v>
      </c>
      <c r="K741" s="142"/>
    </row>
    <row r="742" spans="3:11">
      <c r="C742" s="20">
        <v>737</v>
      </c>
      <c r="D742" s="125" t="s">
        <v>2668</v>
      </c>
      <c r="E742" s="126" t="s">
        <v>2669</v>
      </c>
      <c r="F742" s="125" t="s">
        <v>2670</v>
      </c>
      <c r="K742" s="142"/>
    </row>
    <row r="743" spans="3:11" ht="60">
      <c r="C743" s="20">
        <v>738</v>
      </c>
      <c r="D743" s="127" t="s">
        <v>2732</v>
      </c>
      <c r="E743" s="128" t="s">
        <v>2733</v>
      </c>
      <c r="F743" s="127" t="s">
        <v>2673</v>
      </c>
      <c r="K743" s="142"/>
    </row>
    <row r="744" spans="3:11" ht="25.5">
      <c r="C744" s="20">
        <v>739</v>
      </c>
      <c r="D744" s="125" t="s">
        <v>2674</v>
      </c>
      <c r="E744" s="126" t="s">
        <v>2675</v>
      </c>
      <c r="F744" s="125" t="s">
        <v>2635</v>
      </c>
      <c r="K744" s="142"/>
    </row>
    <row r="745" spans="3:11" ht="48">
      <c r="C745" s="20">
        <v>740</v>
      </c>
      <c r="D745" s="127" t="s">
        <v>2734</v>
      </c>
      <c r="E745" s="128" t="s">
        <v>2735</v>
      </c>
      <c r="F745" s="127" t="s">
        <v>2678</v>
      </c>
      <c r="K745" s="142"/>
    </row>
    <row r="746" spans="3:11" ht="13.5" thickBot="1">
      <c r="C746" s="20">
        <v>741</v>
      </c>
      <c r="D746" s="143"/>
      <c r="E746" s="144"/>
      <c r="F746" s="143"/>
      <c r="H746" s="144"/>
      <c r="I746" s="144"/>
      <c r="J746" s="144"/>
      <c r="K746" s="145"/>
    </row>
    <row r="747" spans="3:11" ht="22.5">
      <c r="C747" s="20">
        <v>742</v>
      </c>
      <c r="D747" s="113" t="s">
        <v>2752</v>
      </c>
      <c r="E747" s="114" t="s">
        <v>2752</v>
      </c>
      <c r="F747" s="113" t="s">
        <v>2753</v>
      </c>
      <c r="K747" s="142"/>
    </row>
    <row r="748" spans="3:11">
      <c r="C748" s="20">
        <v>743</v>
      </c>
      <c r="D748" s="147"/>
      <c r="E748" s="59"/>
      <c r="K748" s="142"/>
    </row>
    <row r="749" spans="3:11">
      <c r="C749" s="20">
        <v>744</v>
      </c>
      <c r="D749" s="369" t="s">
        <v>2553</v>
      </c>
      <c r="E749" s="370" t="s">
        <v>2754</v>
      </c>
      <c r="F749" s="371" t="s">
        <v>2555</v>
      </c>
      <c r="K749" s="142"/>
    </row>
    <row r="750" spans="3:11">
      <c r="C750" s="20">
        <v>745</v>
      </c>
      <c r="D750" s="130" t="s">
        <v>2556</v>
      </c>
      <c r="E750" s="131" t="s">
        <v>2755</v>
      </c>
      <c r="F750" s="241" t="s">
        <v>2558</v>
      </c>
      <c r="K750" s="142"/>
    </row>
    <row r="751" spans="3:11">
      <c r="C751" s="20">
        <v>746</v>
      </c>
      <c r="D751" s="363" t="s">
        <v>2559</v>
      </c>
      <c r="E751" s="364" t="s">
        <v>2560</v>
      </c>
      <c r="F751" s="365" t="s">
        <v>2561</v>
      </c>
      <c r="K751" s="142"/>
    </row>
    <row r="752" spans="3:11">
      <c r="C752" s="20">
        <v>747</v>
      </c>
      <c r="D752" s="147"/>
      <c r="E752" s="64"/>
      <c r="K752" s="142"/>
    </row>
    <row r="753" spans="3:11">
      <c r="C753" s="20">
        <v>748</v>
      </c>
      <c r="D753" s="40" t="s">
        <v>1928</v>
      </c>
      <c r="E753" s="16" t="s">
        <v>1929</v>
      </c>
      <c r="F753" s="64" t="s">
        <v>1930</v>
      </c>
      <c r="K753" s="142"/>
    </row>
    <row r="754" spans="3:11" ht="51">
      <c r="C754" s="20">
        <v>749</v>
      </c>
      <c r="D754" s="168" t="s">
        <v>2756</v>
      </c>
      <c r="E754" s="185" t="s">
        <v>2757</v>
      </c>
      <c r="F754" s="185" t="s">
        <v>2758</v>
      </c>
      <c r="K754" s="142"/>
    </row>
    <row r="755" spans="3:11">
      <c r="C755" s="20">
        <v>750</v>
      </c>
      <c r="D755" s="168" t="s">
        <v>149</v>
      </c>
      <c r="E755" s="169" t="s">
        <v>149</v>
      </c>
      <c r="F755" s="185" t="s">
        <v>149</v>
      </c>
      <c r="K755" s="142"/>
    </row>
    <row r="756" spans="3:11">
      <c r="C756" s="20">
        <v>751</v>
      </c>
      <c r="D756" s="146"/>
      <c r="E756" s="64"/>
      <c r="K756" s="142"/>
    </row>
    <row r="757" spans="3:11">
      <c r="C757" s="20">
        <v>752</v>
      </c>
      <c r="D757" s="86" t="s">
        <v>2759</v>
      </c>
      <c r="E757" s="87" t="s">
        <v>2759</v>
      </c>
      <c r="F757" s="86" t="s">
        <v>2759</v>
      </c>
      <c r="K757" s="142"/>
    </row>
    <row r="758" spans="3:11">
      <c r="C758" s="20">
        <v>753</v>
      </c>
      <c r="D758" s="123" t="s">
        <v>2760</v>
      </c>
      <c r="E758" s="132" t="s">
        <v>2761</v>
      </c>
      <c r="F758" s="123" t="s">
        <v>2762</v>
      </c>
      <c r="K758" s="142"/>
    </row>
    <row r="759" spans="3:11">
      <c r="C759" s="20">
        <v>754</v>
      </c>
      <c r="D759" s="86" t="s">
        <v>2763</v>
      </c>
      <c r="E759" s="86" t="s">
        <v>2764</v>
      </c>
      <c r="F759" s="86" t="s">
        <v>2765</v>
      </c>
      <c r="K759" s="142"/>
    </row>
    <row r="760" spans="3:11">
      <c r="C760" s="20">
        <v>755</v>
      </c>
      <c r="D760" s="123" t="s">
        <v>2766</v>
      </c>
      <c r="E760" s="123" t="s">
        <v>2767</v>
      </c>
      <c r="F760" s="123" t="s">
        <v>2768</v>
      </c>
      <c r="K760" s="142"/>
    </row>
    <row r="761" spans="3:11">
      <c r="C761" s="20">
        <v>756</v>
      </c>
      <c r="D761" s="86" t="s">
        <v>2769</v>
      </c>
      <c r="E761" s="86" t="s">
        <v>2770</v>
      </c>
      <c r="F761" s="86" t="s">
        <v>2771</v>
      </c>
      <c r="K761" s="142"/>
    </row>
    <row r="762" spans="3:11" ht="36">
      <c r="C762" s="20">
        <v>757</v>
      </c>
      <c r="D762" s="123" t="s">
        <v>2772</v>
      </c>
      <c r="E762" s="123" t="s">
        <v>2773</v>
      </c>
      <c r="F762" s="123" t="s">
        <v>2774</v>
      </c>
      <c r="K762" s="142"/>
    </row>
    <row r="763" spans="3:11">
      <c r="C763" s="20">
        <v>758</v>
      </c>
      <c r="D763" s="86" t="s">
        <v>2775</v>
      </c>
      <c r="E763" s="86" t="s">
        <v>2776</v>
      </c>
      <c r="F763" s="86" t="s">
        <v>2777</v>
      </c>
      <c r="K763" s="142"/>
    </row>
    <row r="764" spans="3:11" ht="36">
      <c r="C764" s="20">
        <v>759</v>
      </c>
      <c r="D764" s="123" t="s">
        <v>2778</v>
      </c>
      <c r="E764" s="123" t="s">
        <v>2779</v>
      </c>
      <c r="F764" s="123" t="s">
        <v>2780</v>
      </c>
      <c r="K764" s="142"/>
    </row>
    <row r="765" spans="3:11">
      <c r="C765" s="20">
        <v>760</v>
      </c>
      <c r="D765" s="86" t="s">
        <v>2781</v>
      </c>
      <c r="E765" s="86" t="s">
        <v>2782</v>
      </c>
      <c r="F765" s="86" t="s">
        <v>2783</v>
      </c>
      <c r="K765" s="142"/>
    </row>
    <row r="766" spans="3:11">
      <c r="C766" s="20">
        <v>761</v>
      </c>
      <c r="D766" s="123" t="s">
        <v>2784</v>
      </c>
      <c r="E766" s="123" t="s">
        <v>2785</v>
      </c>
      <c r="F766" s="123" t="s">
        <v>2786</v>
      </c>
      <c r="K766" s="142"/>
    </row>
    <row r="767" spans="3:11">
      <c r="C767" s="20">
        <v>762</v>
      </c>
      <c r="D767" s="86" t="s">
        <v>2787</v>
      </c>
      <c r="E767" s="86" t="s">
        <v>2788</v>
      </c>
      <c r="F767" s="86" t="s">
        <v>2789</v>
      </c>
      <c r="K767" s="142"/>
    </row>
    <row r="768" spans="3:11" ht="36">
      <c r="C768" s="20">
        <v>763</v>
      </c>
      <c r="D768" s="123" t="s">
        <v>2790</v>
      </c>
      <c r="E768" s="123" t="s">
        <v>2791</v>
      </c>
      <c r="F768" s="123" t="s">
        <v>2792</v>
      </c>
      <c r="K768" s="142"/>
    </row>
    <row r="769" spans="3:11">
      <c r="C769" s="20">
        <v>764</v>
      </c>
      <c r="D769" s="86" t="s">
        <v>2793</v>
      </c>
      <c r="E769" s="86" t="s">
        <v>2794</v>
      </c>
      <c r="F769" s="86" t="s">
        <v>2795</v>
      </c>
      <c r="K769" s="142"/>
    </row>
    <row r="770" spans="3:11" ht="36">
      <c r="C770" s="20">
        <v>765</v>
      </c>
      <c r="D770" s="123" t="s">
        <v>2796</v>
      </c>
      <c r="E770" s="123" t="s">
        <v>2797</v>
      </c>
      <c r="F770" s="123" t="s">
        <v>2798</v>
      </c>
      <c r="K770" s="142"/>
    </row>
    <row r="771" spans="3:11">
      <c r="C771" s="20">
        <v>766</v>
      </c>
      <c r="D771" s="86" t="s">
        <v>2799</v>
      </c>
      <c r="E771" s="86" t="s">
        <v>2800</v>
      </c>
      <c r="F771" s="86" t="s">
        <v>2801</v>
      </c>
      <c r="K771" s="142"/>
    </row>
    <row r="772" spans="3:11">
      <c r="C772" s="20">
        <v>767</v>
      </c>
      <c r="D772" s="127" t="s">
        <v>2802</v>
      </c>
      <c r="E772" s="127" t="s">
        <v>2803</v>
      </c>
      <c r="F772" s="127" t="s">
        <v>2804</v>
      </c>
      <c r="K772" s="142"/>
    </row>
    <row r="773" spans="3:11">
      <c r="C773" s="20">
        <v>768</v>
      </c>
      <c r="D773" s="86" t="s">
        <v>2805</v>
      </c>
      <c r="E773" s="86" t="s">
        <v>2806</v>
      </c>
      <c r="F773" s="86" t="s">
        <v>2807</v>
      </c>
      <c r="K773" s="142"/>
    </row>
    <row r="774" spans="3:11">
      <c r="C774" s="20">
        <v>769</v>
      </c>
      <c r="D774" s="123" t="s">
        <v>2808</v>
      </c>
      <c r="E774" s="123" t="s">
        <v>2806</v>
      </c>
      <c r="F774" s="123" t="s">
        <v>2809</v>
      </c>
      <c r="K774" s="142"/>
    </row>
    <row r="775" spans="3:11">
      <c r="C775" s="20">
        <v>770</v>
      </c>
      <c r="D775" s="86" t="s">
        <v>2810</v>
      </c>
      <c r="E775" s="86" t="s">
        <v>2811</v>
      </c>
      <c r="F775" s="86" t="s">
        <v>2812</v>
      </c>
      <c r="K775" s="142"/>
    </row>
    <row r="776" spans="3:11" ht="36">
      <c r="C776" s="20">
        <v>771</v>
      </c>
      <c r="D776" s="127" t="s">
        <v>2813</v>
      </c>
      <c r="E776" s="127" t="s">
        <v>2814</v>
      </c>
      <c r="F776" s="127" t="s">
        <v>2815</v>
      </c>
      <c r="K776" s="142"/>
    </row>
    <row r="777" spans="3:11">
      <c r="C777" s="20">
        <v>772</v>
      </c>
      <c r="D777" s="133" t="s">
        <v>2816</v>
      </c>
      <c r="E777" s="133" t="s">
        <v>2817</v>
      </c>
      <c r="F777" s="133" t="s">
        <v>2818</v>
      </c>
      <c r="K777" s="142"/>
    </row>
    <row r="778" spans="3:11" ht="60">
      <c r="C778" s="20">
        <v>773</v>
      </c>
      <c r="D778" s="127" t="s">
        <v>2819</v>
      </c>
      <c r="E778" s="127" t="s">
        <v>2820</v>
      </c>
      <c r="F778" s="127" t="s">
        <v>2821</v>
      </c>
      <c r="K778" s="142"/>
    </row>
    <row r="779" spans="3:11">
      <c r="C779" s="20">
        <v>774</v>
      </c>
      <c r="D779" s="50" t="s">
        <v>2822</v>
      </c>
      <c r="E779" s="50" t="s">
        <v>2823</v>
      </c>
      <c r="F779" s="50" t="s">
        <v>2824</v>
      </c>
      <c r="K779" s="142"/>
    </row>
    <row r="780" spans="3:11" ht="24">
      <c r="C780" s="20">
        <v>775</v>
      </c>
      <c r="D780" s="127" t="s">
        <v>2825</v>
      </c>
      <c r="E780" s="127" t="s">
        <v>2826</v>
      </c>
      <c r="F780" s="127" t="s">
        <v>2827</v>
      </c>
      <c r="K780" s="142"/>
    </row>
    <row r="781" spans="3:11">
      <c r="C781" s="20">
        <v>776</v>
      </c>
      <c r="D781" s="86" t="s">
        <v>2828</v>
      </c>
      <c r="E781" s="86" t="s">
        <v>2829</v>
      </c>
      <c r="F781" s="86" t="s">
        <v>2830</v>
      </c>
      <c r="K781" s="142"/>
    </row>
    <row r="782" spans="3:11" ht="36">
      <c r="C782" s="20">
        <v>777</v>
      </c>
      <c r="D782" s="127" t="s">
        <v>2831</v>
      </c>
      <c r="E782" s="127" t="s">
        <v>2832</v>
      </c>
      <c r="F782" s="127" t="s">
        <v>2833</v>
      </c>
      <c r="K782" s="142"/>
    </row>
    <row r="783" spans="3:11">
      <c r="C783" s="20">
        <v>778</v>
      </c>
      <c r="D783" s="125" t="s">
        <v>2834</v>
      </c>
      <c r="E783" s="125" t="s">
        <v>2835</v>
      </c>
      <c r="F783" s="125" t="s">
        <v>2836</v>
      </c>
      <c r="K783" s="142"/>
    </row>
    <row r="784" spans="3:11">
      <c r="C784" s="20">
        <v>779</v>
      </c>
      <c r="D784" s="127" t="s">
        <v>2837</v>
      </c>
      <c r="E784" s="127" t="s">
        <v>2838</v>
      </c>
      <c r="F784" s="127" t="s">
        <v>2839</v>
      </c>
      <c r="K784" s="142"/>
    </row>
    <row r="785" spans="3:11">
      <c r="C785" s="20">
        <v>780</v>
      </c>
      <c r="D785" s="125" t="s">
        <v>2840</v>
      </c>
      <c r="E785" s="126" t="s">
        <v>2841</v>
      </c>
      <c r="F785" s="125" t="s">
        <v>2842</v>
      </c>
      <c r="K785" s="142"/>
    </row>
    <row r="786" spans="3:11">
      <c r="C786" s="20">
        <v>781</v>
      </c>
      <c r="D786" s="372" t="s">
        <v>2843</v>
      </c>
      <c r="E786" s="128" t="s">
        <v>2841</v>
      </c>
      <c r="F786" s="127" t="s">
        <v>2842</v>
      </c>
      <c r="K786" s="142"/>
    </row>
    <row r="787" spans="3:11" ht="25.5">
      <c r="C787" s="20">
        <v>782</v>
      </c>
      <c r="D787" s="125" t="s">
        <v>2717</v>
      </c>
      <c r="E787" s="126" t="s">
        <v>2718</v>
      </c>
      <c r="F787" s="125" t="s">
        <v>2844</v>
      </c>
      <c r="K787" s="142"/>
    </row>
    <row r="788" spans="3:11" ht="36">
      <c r="C788" s="20">
        <v>783</v>
      </c>
      <c r="D788" s="127" t="s">
        <v>2845</v>
      </c>
      <c r="E788" s="128" t="s">
        <v>2846</v>
      </c>
      <c r="F788" s="127" t="s">
        <v>2847</v>
      </c>
      <c r="K788" s="142"/>
    </row>
    <row r="789" spans="3:11">
      <c r="C789" s="20">
        <v>784</v>
      </c>
      <c r="D789" s="125" t="s">
        <v>2723</v>
      </c>
      <c r="E789" s="126" t="s">
        <v>2724</v>
      </c>
      <c r="F789" s="125" t="s">
        <v>2848</v>
      </c>
      <c r="K789" s="142"/>
    </row>
    <row r="790" spans="3:11" ht="60">
      <c r="C790" s="20">
        <v>785</v>
      </c>
      <c r="D790" s="127" t="s">
        <v>2849</v>
      </c>
      <c r="E790" s="128" t="s">
        <v>2850</v>
      </c>
      <c r="F790" s="127" t="s">
        <v>2851</v>
      </c>
      <c r="K790" s="142"/>
    </row>
    <row r="791" spans="3:11">
      <c r="C791" s="20">
        <v>786</v>
      </c>
      <c r="D791" s="125" t="s">
        <v>2852</v>
      </c>
      <c r="E791" s="126" t="s">
        <v>2853</v>
      </c>
      <c r="F791" s="125" t="s">
        <v>2854</v>
      </c>
      <c r="K791" s="142"/>
    </row>
    <row r="792" spans="3:11">
      <c r="C792" s="20">
        <v>787</v>
      </c>
      <c r="D792" s="127" t="s">
        <v>2855</v>
      </c>
      <c r="E792" s="128" t="s">
        <v>2856</v>
      </c>
      <c r="F792" s="127" t="s">
        <v>2857</v>
      </c>
      <c r="K792" s="142"/>
    </row>
    <row r="793" spans="3:11">
      <c r="C793" s="20">
        <v>788</v>
      </c>
      <c r="D793" s="125" t="s">
        <v>2858</v>
      </c>
      <c r="E793" s="126" t="s">
        <v>2859</v>
      </c>
      <c r="F793" s="125" t="s">
        <v>2860</v>
      </c>
      <c r="K793" s="142"/>
    </row>
    <row r="794" spans="3:11">
      <c r="C794" s="20">
        <v>789</v>
      </c>
      <c r="D794" s="127" t="s">
        <v>2861</v>
      </c>
      <c r="E794" s="128" t="s">
        <v>2862</v>
      </c>
      <c r="F794" s="127" t="s">
        <v>2863</v>
      </c>
      <c r="K794" s="142"/>
    </row>
    <row r="795" spans="3:11">
      <c r="C795" s="20">
        <v>790</v>
      </c>
      <c r="D795" s="125" t="s">
        <v>2864</v>
      </c>
      <c r="E795" s="126" t="s">
        <v>2865</v>
      </c>
      <c r="F795" s="125" t="s">
        <v>2866</v>
      </c>
      <c r="K795" s="142"/>
    </row>
    <row r="796" spans="3:11">
      <c r="C796" s="20">
        <v>791</v>
      </c>
      <c r="D796" s="127" t="s">
        <v>2867</v>
      </c>
      <c r="E796" s="128" t="s">
        <v>2868</v>
      </c>
      <c r="F796" s="127" t="s">
        <v>2869</v>
      </c>
      <c r="K796" s="142"/>
    </row>
    <row r="797" spans="3:11">
      <c r="C797" s="20">
        <v>792</v>
      </c>
      <c r="D797" s="125" t="s">
        <v>2870</v>
      </c>
      <c r="E797" s="126" t="s">
        <v>2871</v>
      </c>
      <c r="F797" s="125" t="s">
        <v>2872</v>
      </c>
      <c r="K797" s="142"/>
    </row>
    <row r="798" spans="3:11">
      <c r="C798" s="20">
        <v>793</v>
      </c>
      <c r="D798" s="127" t="s">
        <v>2873</v>
      </c>
      <c r="E798" s="128" t="s">
        <v>2874</v>
      </c>
      <c r="F798" s="127" t="s">
        <v>2875</v>
      </c>
      <c r="K798" s="142"/>
    </row>
    <row r="799" spans="3:11">
      <c r="C799" s="20">
        <v>794</v>
      </c>
      <c r="D799" s="125" t="s">
        <v>2876</v>
      </c>
      <c r="E799" s="126" t="s">
        <v>2877</v>
      </c>
      <c r="F799" s="125" t="s">
        <v>2878</v>
      </c>
      <c r="K799" s="142"/>
    </row>
    <row r="800" spans="3:11" ht="24">
      <c r="C800" s="20">
        <v>795</v>
      </c>
      <c r="D800" s="127" t="s">
        <v>2879</v>
      </c>
      <c r="E800" s="128" t="s">
        <v>2880</v>
      </c>
      <c r="F800" s="127" t="s">
        <v>2881</v>
      </c>
      <c r="K800" s="142"/>
    </row>
    <row r="801" spans="3:11">
      <c r="C801" s="20">
        <v>796</v>
      </c>
      <c r="D801" s="125" t="s">
        <v>2882</v>
      </c>
      <c r="E801" s="126" t="s">
        <v>2883</v>
      </c>
      <c r="F801" s="125" t="s">
        <v>2884</v>
      </c>
      <c r="K801" s="142"/>
    </row>
    <row r="802" spans="3:11" ht="36">
      <c r="C802" s="20">
        <v>797</v>
      </c>
      <c r="D802" s="127" t="s">
        <v>2885</v>
      </c>
      <c r="E802" s="128" t="s">
        <v>2886</v>
      </c>
      <c r="F802" s="127" t="s">
        <v>2887</v>
      </c>
      <c r="K802" s="142"/>
    </row>
    <row r="803" spans="3:11">
      <c r="C803" s="20">
        <v>798</v>
      </c>
      <c r="D803" s="125" t="s">
        <v>2888</v>
      </c>
      <c r="E803" s="126" t="s">
        <v>2889</v>
      </c>
      <c r="F803" s="125" t="s">
        <v>2890</v>
      </c>
      <c r="K803" s="142"/>
    </row>
    <row r="804" spans="3:11" ht="48">
      <c r="C804" s="20">
        <v>799</v>
      </c>
      <c r="D804" s="127" t="s">
        <v>2891</v>
      </c>
      <c r="E804" s="128" t="s">
        <v>2892</v>
      </c>
      <c r="F804" s="127" t="s">
        <v>2893</v>
      </c>
      <c r="K804" s="142"/>
    </row>
    <row r="805" spans="3:11">
      <c r="C805" s="20">
        <v>800</v>
      </c>
      <c r="D805" s="125" t="s">
        <v>2894</v>
      </c>
      <c r="E805" s="126" t="s">
        <v>2895</v>
      </c>
      <c r="F805" s="125" t="s">
        <v>2896</v>
      </c>
      <c r="K805" s="142"/>
    </row>
    <row r="806" spans="3:11" ht="48">
      <c r="C806" s="20">
        <v>801</v>
      </c>
      <c r="D806" s="127" t="s">
        <v>2897</v>
      </c>
      <c r="E806" s="128" t="s">
        <v>2898</v>
      </c>
      <c r="F806" s="127" t="s">
        <v>2899</v>
      </c>
      <c r="K806" s="142"/>
    </row>
    <row r="807" spans="3:11">
      <c r="C807" s="20">
        <v>802</v>
      </c>
      <c r="D807" s="125" t="s">
        <v>2900</v>
      </c>
      <c r="E807" s="126" t="s">
        <v>2901</v>
      </c>
      <c r="F807" s="125" t="s">
        <v>2902</v>
      </c>
      <c r="K807" s="142"/>
    </row>
    <row r="808" spans="3:11" ht="48">
      <c r="C808" s="20">
        <v>803</v>
      </c>
      <c r="D808" s="127" t="s">
        <v>2903</v>
      </c>
      <c r="E808" s="128" t="s">
        <v>2904</v>
      </c>
      <c r="F808" s="127" t="s">
        <v>2905</v>
      </c>
      <c r="K808" s="142"/>
    </row>
    <row r="809" spans="3:11">
      <c r="C809" s="20">
        <v>804</v>
      </c>
      <c r="D809" s="125" t="s">
        <v>2906</v>
      </c>
      <c r="E809" s="126" t="s">
        <v>2907</v>
      </c>
      <c r="F809" s="125" t="s">
        <v>2908</v>
      </c>
      <c r="K809" s="142"/>
    </row>
    <row r="810" spans="3:11" ht="24">
      <c r="C810" s="20">
        <v>805</v>
      </c>
      <c r="D810" s="125" t="s">
        <v>2909</v>
      </c>
      <c r="E810" s="128" t="s">
        <v>2910</v>
      </c>
      <c r="F810" s="125" t="s">
        <v>2911</v>
      </c>
      <c r="K810" s="142"/>
    </row>
    <row r="811" spans="3:11" ht="13.5" thickBot="1">
      <c r="C811" s="20">
        <v>806</v>
      </c>
      <c r="D811" s="143"/>
      <c r="E811" s="144"/>
      <c r="F811" s="143"/>
      <c r="H811" s="144"/>
      <c r="I811" s="144"/>
      <c r="J811" s="144"/>
      <c r="K811" s="145"/>
    </row>
    <row r="812" spans="3:11" ht="22.5">
      <c r="C812" s="20">
        <v>807</v>
      </c>
      <c r="D812" s="113" t="s">
        <v>2912</v>
      </c>
      <c r="E812" s="114" t="s">
        <v>2912</v>
      </c>
      <c r="F812" s="113" t="s">
        <v>2912</v>
      </c>
      <c r="K812" s="142"/>
    </row>
    <row r="813" spans="3:11">
      <c r="C813" s="20">
        <v>808</v>
      </c>
      <c r="D813" s="147"/>
      <c r="E813" s="59"/>
      <c r="F813" s="219"/>
      <c r="K813" s="142"/>
    </row>
    <row r="814" spans="3:11">
      <c r="C814" s="20">
        <v>809</v>
      </c>
      <c r="D814" s="369" t="s">
        <v>2553</v>
      </c>
      <c r="E814" s="370" t="s">
        <v>2754</v>
      </c>
      <c r="F814" s="371" t="s">
        <v>2555</v>
      </c>
      <c r="K814" s="142"/>
    </row>
    <row r="815" spans="3:11">
      <c r="C815" s="20">
        <v>810</v>
      </c>
      <c r="D815" s="363" t="s">
        <v>2556</v>
      </c>
      <c r="E815" s="364" t="s">
        <v>2755</v>
      </c>
      <c r="F815" s="365" t="s">
        <v>2558</v>
      </c>
      <c r="K815" s="142"/>
    </row>
    <row r="816" spans="3:11">
      <c r="C816" s="20">
        <v>811</v>
      </c>
      <c r="D816" s="130" t="s">
        <v>2559</v>
      </c>
      <c r="E816" s="131" t="s">
        <v>2560</v>
      </c>
      <c r="F816" s="241" t="s">
        <v>2561</v>
      </c>
      <c r="K816" s="142"/>
    </row>
    <row r="817" spans="3:11">
      <c r="C817" s="20">
        <v>812</v>
      </c>
      <c r="D817" s="147"/>
      <c r="E817" s="64"/>
      <c r="K817" s="142"/>
    </row>
    <row r="818" spans="3:11">
      <c r="C818" s="20">
        <v>813</v>
      </c>
      <c r="D818" s="40" t="s">
        <v>1928</v>
      </c>
      <c r="E818" s="16" t="s">
        <v>1929</v>
      </c>
      <c r="F818" s="223" t="s">
        <v>1930</v>
      </c>
      <c r="K818" s="142"/>
    </row>
    <row r="819" spans="3:11" ht="25.5">
      <c r="C819" s="20">
        <v>814</v>
      </c>
      <c r="D819" s="313" t="s">
        <v>2913</v>
      </c>
      <c r="E819" s="169" t="s">
        <v>2914</v>
      </c>
      <c r="F819" s="313" t="s">
        <v>2915</v>
      </c>
      <c r="K819" s="142"/>
    </row>
    <row r="820" spans="3:11" ht="172.5" customHeight="1">
      <c r="C820" s="20">
        <v>815</v>
      </c>
      <c r="D820" s="51" t="s">
        <v>2916</v>
      </c>
      <c r="E820" s="180" t="s">
        <v>2917</v>
      </c>
      <c r="F820" s="51" t="s">
        <v>2918</v>
      </c>
      <c r="K820" s="142"/>
    </row>
    <row r="821" spans="3:11">
      <c r="C821" s="20">
        <v>816</v>
      </c>
      <c r="D821" s="168"/>
      <c r="E821" s="169"/>
      <c r="F821" s="146"/>
      <c r="K821" s="142"/>
    </row>
    <row r="822" spans="3:11" ht="25.5">
      <c r="C822" s="20">
        <v>817</v>
      </c>
      <c r="D822" s="168" t="s">
        <v>2919</v>
      </c>
      <c r="E822" s="169" t="s">
        <v>2920</v>
      </c>
      <c r="F822" s="168" t="s">
        <v>2921</v>
      </c>
      <c r="K822" s="142"/>
    </row>
    <row r="823" spans="3:11" ht="191.25">
      <c r="C823" s="20">
        <v>818</v>
      </c>
      <c r="D823" s="168" t="s">
        <v>2922</v>
      </c>
      <c r="E823" s="253" t="s">
        <v>2923</v>
      </c>
      <c r="F823" s="251" t="s">
        <v>2924</v>
      </c>
      <c r="K823" s="142"/>
    </row>
    <row r="824" spans="3:11" ht="76.5">
      <c r="C824" s="20">
        <v>819</v>
      </c>
      <c r="D824" s="168" t="s">
        <v>2925</v>
      </c>
      <c r="E824" s="169" t="s">
        <v>2926</v>
      </c>
      <c r="F824" s="168" t="s">
        <v>2927</v>
      </c>
      <c r="K824" s="142"/>
    </row>
    <row r="825" spans="3:11" ht="51">
      <c r="C825" s="20">
        <v>820</v>
      </c>
      <c r="D825" s="168" t="s">
        <v>2928</v>
      </c>
      <c r="E825" s="169" t="s">
        <v>2929</v>
      </c>
      <c r="F825" s="168" t="s">
        <v>2930</v>
      </c>
      <c r="K825" s="142"/>
    </row>
    <row r="826" spans="3:11" ht="191.25">
      <c r="C826" s="20">
        <v>821</v>
      </c>
      <c r="D826" s="372" t="s">
        <v>2931</v>
      </c>
      <c r="E826" s="169" t="s">
        <v>2932</v>
      </c>
      <c r="F826" s="168" t="s">
        <v>2933</v>
      </c>
      <c r="K826" s="142"/>
    </row>
    <row r="827" spans="3:11">
      <c r="C827" s="20">
        <v>822</v>
      </c>
      <c r="D827" s="168"/>
      <c r="E827" s="169"/>
      <c r="F827" s="168"/>
      <c r="K827" s="142"/>
    </row>
    <row r="828" spans="3:11" ht="25.5">
      <c r="C828" s="20">
        <v>823</v>
      </c>
      <c r="D828" s="147" t="s">
        <v>2934</v>
      </c>
      <c r="E828" s="147" t="s">
        <v>2935</v>
      </c>
      <c r="F828" s="219" t="s">
        <v>2936</v>
      </c>
      <c r="K828" s="142"/>
    </row>
    <row r="829" spans="3:11" ht="38.25">
      <c r="C829" s="20">
        <v>824</v>
      </c>
      <c r="D829" s="310" t="s">
        <v>2937</v>
      </c>
      <c r="E829" s="254" t="s">
        <v>2938</v>
      </c>
      <c r="F829" s="250" t="s">
        <v>2939</v>
      </c>
      <c r="K829" s="142"/>
    </row>
    <row r="830" spans="3:11" ht="51">
      <c r="C830" s="20">
        <v>825</v>
      </c>
      <c r="D830" s="8" t="s">
        <v>2940</v>
      </c>
      <c r="E830" s="254" t="s">
        <v>2941</v>
      </c>
      <c r="F830" s="250" t="s">
        <v>2942</v>
      </c>
      <c r="K830" s="142"/>
    </row>
    <row r="831" spans="3:11" ht="38.25">
      <c r="C831" s="20">
        <v>826</v>
      </c>
      <c r="D831" s="310" t="s">
        <v>2943</v>
      </c>
      <c r="E831" s="134" t="s">
        <v>2944</v>
      </c>
      <c r="F831" s="242" t="s">
        <v>2945</v>
      </c>
      <c r="K831" s="142"/>
    </row>
    <row r="832" spans="3:11" ht="51">
      <c r="C832" s="20">
        <v>827</v>
      </c>
      <c r="D832" s="8" t="s">
        <v>2946</v>
      </c>
      <c r="E832" s="134" t="s">
        <v>2947</v>
      </c>
      <c r="F832" s="242" t="s">
        <v>2948</v>
      </c>
      <c r="K832" s="142"/>
    </row>
    <row r="833" spans="3:11">
      <c r="C833" s="20">
        <v>828</v>
      </c>
      <c r="D833" s="147"/>
      <c r="E833" s="64"/>
      <c r="F833" s="219"/>
      <c r="K833" s="142"/>
    </row>
    <row r="834" spans="3:11" ht="51">
      <c r="C834" s="20">
        <v>829</v>
      </c>
      <c r="D834" s="135" t="s">
        <v>2949</v>
      </c>
      <c r="E834" s="134" t="s">
        <v>2950</v>
      </c>
      <c r="F834" s="242" t="s">
        <v>2951</v>
      </c>
      <c r="K834" s="142"/>
    </row>
    <row r="835" spans="3:11">
      <c r="C835" s="20">
        <v>830</v>
      </c>
      <c r="D835" s="146"/>
      <c r="E835" s="64"/>
      <c r="F835" s="146"/>
      <c r="K835" s="142"/>
    </row>
    <row r="836" spans="3:11">
      <c r="C836" s="20">
        <v>831</v>
      </c>
      <c r="D836" s="52" t="s">
        <v>2952</v>
      </c>
      <c r="E836" s="30" t="s">
        <v>2953</v>
      </c>
      <c r="F836" s="243" t="s">
        <v>2954</v>
      </c>
      <c r="K836" s="142"/>
    </row>
    <row r="837" spans="3:11">
      <c r="C837" s="20">
        <v>832</v>
      </c>
      <c r="D837" s="77" t="s">
        <v>2955</v>
      </c>
      <c r="E837" s="136" t="s">
        <v>2956</v>
      </c>
      <c r="F837" s="86" t="s">
        <v>2957</v>
      </c>
      <c r="K837" s="142"/>
    </row>
    <row r="838" spans="3:11">
      <c r="C838" s="20">
        <v>833</v>
      </c>
      <c r="D838" s="118" t="s">
        <v>2958</v>
      </c>
      <c r="E838" s="137" t="s">
        <v>2959</v>
      </c>
      <c r="F838" s="125" t="s">
        <v>2960</v>
      </c>
      <c r="K838" s="142"/>
    </row>
    <row r="839" spans="3:11">
      <c r="C839" s="20">
        <v>834</v>
      </c>
      <c r="D839" s="138" t="s">
        <v>2961</v>
      </c>
      <c r="E839" s="139" t="s">
        <v>2962</v>
      </c>
      <c r="F839" s="138" t="s">
        <v>2963</v>
      </c>
      <c r="K839" s="142"/>
    </row>
    <row r="840" spans="3:11">
      <c r="C840" s="20">
        <v>835</v>
      </c>
      <c r="D840" s="138" t="s">
        <v>2964</v>
      </c>
      <c r="E840" s="139" t="s">
        <v>2965</v>
      </c>
      <c r="F840" s="138" t="s">
        <v>2966</v>
      </c>
      <c r="K840" s="142"/>
    </row>
    <row r="841" spans="3:11">
      <c r="C841" s="20">
        <v>836</v>
      </c>
      <c r="D841" s="118" t="s">
        <v>2967</v>
      </c>
      <c r="E841" s="137" t="s">
        <v>2968</v>
      </c>
      <c r="F841" s="125" t="s">
        <v>2969</v>
      </c>
      <c r="K841" s="142"/>
    </row>
    <row r="842" spans="3:11">
      <c r="C842" s="20">
        <v>837</v>
      </c>
      <c r="D842" s="138" t="s">
        <v>2961</v>
      </c>
      <c r="E842" s="139" t="s">
        <v>2962</v>
      </c>
      <c r="F842" s="138" t="s">
        <v>2963</v>
      </c>
      <c r="K842" s="142"/>
    </row>
    <row r="843" spans="3:11">
      <c r="C843" s="20">
        <v>838</v>
      </c>
      <c r="D843" s="372" t="s">
        <v>2964</v>
      </c>
      <c r="E843" s="139" t="s">
        <v>2965</v>
      </c>
      <c r="F843" s="138" t="s">
        <v>2966</v>
      </c>
      <c r="K843" s="142"/>
    </row>
    <row r="844" spans="3:11">
      <c r="C844" s="20">
        <v>839</v>
      </c>
      <c r="D844" s="77" t="s">
        <v>2970</v>
      </c>
      <c r="E844" s="136" t="s">
        <v>2971</v>
      </c>
      <c r="F844" s="86" t="s">
        <v>2972</v>
      </c>
      <c r="K844" s="142"/>
    </row>
    <row r="845" spans="3:11">
      <c r="C845" s="20">
        <v>840</v>
      </c>
      <c r="D845" s="118" t="s">
        <v>2973</v>
      </c>
      <c r="E845" s="137" t="s">
        <v>2974</v>
      </c>
      <c r="F845" s="125" t="s">
        <v>2975</v>
      </c>
      <c r="K845" s="142"/>
    </row>
    <row r="846" spans="3:11">
      <c r="C846" s="20">
        <v>841</v>
      </c>
      <c r="D846" s="138" t="s">
        <v>2976</v>
      </c>
      <c r="E846" s="139" t="s">
        <v>2977</v>
      </c>
      <c r="F846" s="138" t="s">
        <v>2963</v>
      </c>
      <c r="K846" s="142"/>
    </row>
    <row r="847" spans="3:11">
      <c r="C847" s="20">
        <v>842</v>
      </c>
      <c r="D847" s="138" t="s">
        <v>2978</v>
      </c>
      <c r="E847" s="139" t="s">
        <v>2979</v>
      </c>
      <c r="F847" s="138" t="s">
        <v>2966</v>
      </c>
      <c r="K847" s="142"/>
    </row>
    <row r="848" spans="3:11">
      <c r="C848" s="20">
        <v>843</v>
      </c>
      <c r="D848" s="118" t="s">
        <v>2980</v>
      </c>
      <c r="E848" s="137" t="s">
        <v>2981</v>
      </c>
      <c r="F848" s="125" t="s">
        <v>2982</v>
      </c>
      <c r="K848" s="142"/>
    </row>
    <row r="849" spans="3:11">
      <c r="C849" s="20">
        <v>844</v>
      </c>
      <c r="D849" s="138" t="s">
        <v>2976</v>
      </c>
      <c r="E849" s="139" t="s">
        <v>2977</v>
      </c>
      <c r="F849" s="138" t="s">
        <v>2963</v>
      </c>
      <c r="K849" s="142"/>
    </row>
    <row r="850" spans="3:11">
      <c r="C850" s="20">
        <v>845</v>
      </c>
      <c r="D850" s="138" t="s">
        <v>2978</v>
      </c>
      <c r="E850" s="139" t="s">
        <v>2979</v>
      </c>
      <c r="F850" s="138" t="s">
        <v>2966</v>
      </c>
      <c r="K850" s="142"/>
    </row>
    <row r="851" spans="3:11">
      <c r="C851" s="20">
        <v>846</v>
      </c>
      <c r="D851" s="146"/>
      <c r="E851" s="64"/>
      <c r="F851" s="146"/>
      <c r="K851" s="142"/>
    </row>
    <row r="852" spans="3:11" ht="51">
      <c r="C852" s="20">
        <v>847</v>
      </c>
      <c r="D852" s="135" t="s">
        <v>2940</v>
      </c>
      <c r="E852" s="134" t="s">
        <v>2941</v>
      </c>
      <c r="F852" s="242" t="s">
        <v>2942</v>
      </c>
      <c r="K852" s="142"/>
    </row>
    <row r="853" spans="3:11">
      <c r="C853" s="20">
        <v>848</v>
      </c>
      <c r="D853" s="77" t="s">
        <v>2955</v>
      </c>
      <c r="E853" s="136" t="s">
        <v>2956</v>
      </c>
      <c r="F853" s="86" t="s">
        <v>2957</v>
      </c>
      <c r="K853" s="142"/>
    </row>
    <row r="854" spans="3:11">
      <c r="C854" s="20">
        <v>849</v>
      </c>
      <c r="D854" s="118" t="s">
        <v>2983</v>
      </c>
      <c r="E854" s="137" t="s">
        <v>2959</v>
      </c>
      <c r="F854" s="125" t="s">
        <v>2960</v>
      </c>
      <c r="K854" s="142"/>
    </row>
    <row r="855" spans="3:11">
      <c r="C855" s="20">
        <v>850</v>
      </c>
      <c r="D855" s="138" t="s">
        <v>2961</v>
      </c>
      <c r="E855" s="139" t="s">
        <v>2962</v>
      </c>
      <c r="F855" s="138" t="s">
        <v>2963</v>
      </c>
      <c r="K855" s="142"/>
    </row>
    <row r="856" spans="3:11">
      <c r="C856" s="20">
        <v>851</v>
      </c>
      <c r="D856" s="138" t="s">
        <v>2964</v>
      </c>
      <c r="E856" s="139" t="s">
        <v>2965</v>
      </c>
      <c r="F856" s="138" t="s">
        <v>2966</v>
      </c>
      <c r="K856" s="142"/>
    </row>
    <row r="857" spans="3:11">
      <c r="C857" s="20">
        <v>852</v>
      </c>
      <c r="D857" s="118" t="s">
        <v>2984</v>
      </c>
      <c r="E857" s="137" t="s">
        <v>2968</v>
      </c>
      <c r="F857" s="125" t="s">
        <v>2969</v>
      </c>
      <c r="K857" s="142"/>
    </row>
    <row r="858" spans="3:11">
      <c r="C858" s="20">
        <v>853</v>
      </c>
      <c r="D858" s="138" t="s">
        <v>2961</v>
      </c>
      <c r="E858" s="139" t="s">
        <v>2962</v>
      </c>
      <c r="F858" s="138" t="s">
        <v>2963</v>
      </c>
      <c r="K858" s="142"/>
    </row>
    <row r="859" spans="3:11">
      <c r="C859" s="20">
        <v>854</v>
      </c>
      <c r="D859" s="138" t="s">
        <v>2964</v>
      </c>
      <c r="E859" s="139" t="s">
        <v>2965</v>
      </c>
      <c r="F859" s="138" t="s">
        <v>2966</v>
      </c>
      <c r="K859" s="142"/>
    </row>
    <row r="860" spans="3:11">
      <c r="C860" s="20">
        <v>855</v>
      </c>
      <c r="D860" s="77" t="s">
        <v>2970</v>
      </c>
      <c r="E860" s="136" t="s">
        <v>2971</v>
      </c>
      <c r="F860" s="86" t="s">
        <v>2972</v>
      </c>
      <c r="K860" s="142"/>
    </row>
    <row r="861" spans="3:11">
      <c r="C861" s="20">
        <v>856</v>
      </c>
      <c r="D861" s="118" t="s">
        <v>2985</v>
      </c>
      <c r="E861" s="137" t="s">
        <v>2974</v>
      </c>
      <c r="F861" s="125" t="s">
        <v>2975</v>
      </c>
      <c r="K861" s="142"/>
    </row>
    <row r="862" spans="3:11">
      <c r="C862" s="20">
        <v>857</v>
      </c>
      <c r="D862" s="138" t="s">
        <v>2976</v>
      </c>
      <c r="E862" s="139" t="s">
        <v>2977</v>
      </c>
      <c r="F862" s="138" t="s">
        <v>2963</v>
      </c>
      <c r="K862" s="142"/>
    </row>
    <row r="863" spans="3:11">
      <c r="C863" s="20">
        <v>858</v>
      </c>
      <c r="D863" s="138" t="s">
        <v>2978</v>
      </c>
      <c r="E863" s="139" t="s">
        <v>2979</v>
      </c>
      <c r="F863" s="138" t="s">
        <v>2966</v>
      </c>
      <c r="K863" s="142"/>
    </row>
    <row r="864" spans="3:11">
      <c r="C864" s="20">
        <v>859</v>
      </c>
      <c r="D864" s="118" t="s">
        <v>2986</v>
      </c>
      <c r="E864" s="137" t="s">
        <v>2981</v>
      </c>
      <c r="F864" s="125" t="s">
        <v>2982</v>
      </c>
      <c r="K864" s="142"/>
    </row>
    <row r="865" spans="3:11">
      <c r="C865" s="20">
        <v>860</v>
      </c>
      <c r="D865" s="138" t="s">
        <v>2976</v>
      </c>
      <c r="E865" s="139" t="s">
        <v>2977</v>
      </c>
      <c r="F865" s="138" t="s">
        <v>2963</v>
      </c>
      <c r="K865" s="142"/>
    </row>
    <row r="866" spans="3:11">
      <c r="C866" s="20">
        <v>861</v>
      </c>
      <c r="D866" s="138" t="s">
        <v>2978</v>
      </c>
      <c r="E866" s="139" t="s">
        <v>2979</v>
      </c>
      <c r="F866" s="138" t="s">
        <v>2966</v>
      </c>
      <c r="K866" s="142"/>
    </row>
    <row r="867" spans="3:11">
      <c r="C867" s="20">
        <v>862</v>
      </c>
      <c r="D867" s="115"/>
      <c r="E867" s="64"/>
      <c r="F867" s="239"/>
      <c r="K867" s="142"/>
    </row>
    <row r="868" spans="3:11" ht="38.25">
      <c r="C868" s="20">
        <v>863</v>
      </c>
      <c r="D868" s="135" t="s">
        <v>2987</v>
      </c>
      <c r="E868" s="134" t="s">
        <v>2988</v>
      </c>
      <c r="F868" s="242" t="s">
        <v>2989</v>
      </c>
      <c r="K868" s="142"/>
    </row>
    <row r="869" spans="3:11">
      <c r="C869" s="20">
        <v>864</v>
      </c>
      <c r="D869" s="77" t="s">
        <v>2955</v>
      </c>
      <c r="E869" s="136" t="s">
        <v>2956</v>
      </c>
      <c r="F869" s="86" t="s">
        <v>2957</v>
      </c>
      <c r="K869" s="142"/>
    </row>
    <row r="870" spans="3:11">
      <c r="C870" s="20">
        <v>865</v>
      </c>
      <c r="D870" s="118" t="s">
        <v>2983</v>
      </c>
      <c r="E870" s="137" t="s">
        <v>2959</v>
      </c>
      <c r="F870" s="125" t="s">
        <v>2960</v>
      </c>
      <c r="K870" s="142"/>
    </row>
    <row r="871" spans="3:11">
      <c r="C871" s="20">
        <v>866</v>
      </c>
      <c r="D871" s="138" t="s">
        <v>2961</v>
      </c>
      <c r="E871" s="139" t="s">
        <v>2962</v>
      </c>
      <c r="F871" s="138" t="s">
        <v>2963</v>
      </c>
      <c r="K871" s="142"/>
    </row>
    <row r="872" spans="3:11">
      <c r="C872" s="20">
        <v>867</v>
      </c>
      <c r="D872" s="138" t="s">
        <v>2964</v>
      </c>
      <c r="E872" s="139" t="s">
        <v>2965</v>
      </c>
      <c r="F872" s="138" t="s">
        <v>2966</v>
      </c>
      <c r="K872" s="142"/>
    </row>
    <row r="873" spans="3:11">
      <c r="C873" s="20">
        <v>868</v>
      </c>
      <c r="D873" s="118" t="s">
        <v>2984</v>
      </c>
      <c r="E873" s="137" t="s">
        <v>2968</v>
      </c>
      <c r="F873" s="125" t="s">
        <v>2969</v>
      </c>
      <c r="K873" s="142"/>
    </row>
    <row r="874" spans="3:11">
      <c r="C874" s="20">
        <v>869</v>
      </c>
      <c r="D874" s="138" t="s">
        <v>2961</v>
      </c>
      <c r="E874" s="139" t="s">
        <v>2962</v>
      </c>
      <c r="F874" s="138" t="s">
        <v>2963</v>
      </c>
      <c r="K874" s="142"/>
    </row>
    <row r="875" spans="3:11">
      <c r="C875" s="20">
        <v>870</v>
      </c>
      <c r="D875" s="138" t="s">
        <v>2964</v>
      </c>
      <c r="E875" s="139" t="s">
        <v>2965</v>
      </c>
      <c r="F875" s="138" t="s">
        <v>2966</v>
      </c>
      <c r="K875" s="142"/>
    </row>
    <row r="876" spans="3:11">
      <c r="C876" s="20">
        <v>871</v>
      </c>
      <c r="D876" s="77" t="s">
        <v>2970</v>
      </c>
      <c r="E876" s="136" t="s">
        <v>2971</v>
      </c>
      <c r="F876" s="86" t="s">
        <v>2972</v>
      </c>
      <c r="K876" s="142"/>
    </row>
    <row r="877" spans="3:11">
      <c r="C877" s="20">
        <v>872</v>
      </c>
      <c r="D877" s="118" t="s">
        <v>2985</v>
      </c>
      <c r="E877" s="137" t="s">
        <v>2974</v>
      </c>
      <c r="F877" s="125" t="s">
        <v>2975</v>
      </c>
      <c r="K877" s="142"/>
    </row>
    <row r="878" spans="3:11">
      <c r="C878" s="20">
        <v>873</v>
      </c>
      <c r="D878" s="138" t="s">
        <v>2976</v>
      </c>
      <c r="E878" s="139" t="s">
        <v>2977</v>
      </c>
      <c r="F878" s="138" t="s">
        <v>2963</v>
      </c>
      <c r="K878" s="142"/>
    </row>
    <row r="879" spans="3:11">
      <c r="C879" s="20">
        <v>874</v>
      </c>
      <c r="D879" s="138" t="s">
        <v>2978</v>
      </c>
      <c r="E879" s="139" t="s">
        <v>2979</v>
      </c>
      <c r="F879" s="138" t="s">
        <v>2966</v>
      </c>
      <c r="K879" s="142"/>
    </row>
    <row r="880" spans="3:11">
      <c r="C880" s="20">
        <v>875</v>
      </c>
      <c r="D880" s="118" t="s">
        <v>2986</v>
      </c>
      <c r="E880" s="137" t="s">
        <v>2981</v>
      </c>
      <c r="F880" s="125" t="s">
        <v>2982</v>
      </c>
      <c r="K880" s="142"/>
    </row>
    <row r="881" spans="3:11">
      <c r="C881" s="20">
        <v>876</v>
      </c>
      <c r="D881" s="138" t="s">
        <v>2976</v>
      </c>
      <c r="E881" s="139" t="s">
        <v>2977</v>
      </c>
      <c r="F881" s="138" t="s">
        <v>2963</v>
      </c>
      <c r="K881" s="142"/>
    </row>
    <row r="882" spans="3:11">
      <c r="C882" s="20">
        <v>877</v>
      </c>
      <c r="D882" s="138" t="s">
        <v>2978</v>
      </c>
      <c r="E882" s="139" t="s">
        <v>2979</v>
      </c>
      <c r="F882" s="138" t="s">
        <v>2966</v>
      </c>
      <c r="K882" s="142"/>
    </row>
    <row r="883" spans="3:11">
      <c r="C883" s="20">
        <v>878</v>
      </c>
      <c r="D883" s="115"/>
      <c r="E883" s="64"/>
      <c r="F883" s="239"/>
      <c r="K883" s="142"/>
    </row>
    <row r="884" spans="3:11" ht="51">
      <c r="C884" s="20">
        <v>879</v>
      </c>
      <c r="D884" s="135" t="s">
        <v>2946</v>
      </c>
      <c r="E884" s="134" t="s">
        <v>2947</v>
      </c>
      <c r="F884" s="242" t="s">
        <v>2948</v>
      </c>
      <c r="K884" s="142"/>
    </row>
    <row r="885" spans="3:11">
      <c r="C885" s="20">
        <v>880</v>
      </c>
      <c r="D885" s="77" t="s">
        <v>2955</v>
      </c>
      <c r="E885" s="136" t="s">
        <v>2956</v>
      </c>
      <c r="F885" s="86" t="s">
        <v>2957</v>
      </c>
      <c r="K885" s="142"/>
    </row>
    <row r="886" spans="3:11">
      <c r="C886" s="20">
        <v>881</v>
      </c>
      <c r="D886" s="118" t="s">
        <v>2983</v>
      </c>
      <c r="E886" s="137" t="s">
        <v>2959</v>
      </c>
      <c r="F886" s="125" t="s">
        <v>2960</v>
      </c>
      <c r="K886" s="142"/>
    </row>
    <row r="887" spans="3:11">
      <c r="C887" s="20">
        <v>882</v>
      </c>
      <c r="D887" s="138" t="s">
        <v>2961</v>
      </c>
      <c r="E887" s="139" t="s">
        <v>2962</v>
      </c>
      <c r="F887" s="138" t="s">
        <v>2963</v>
      </c>
      <c r="K887" s="142"/>
    </row>
    <row r="888" spans="3:11">
      <c r="C888" s="20">
        <v>883</v>
      </c>
      <c r="D888" s="138" t="s">
        <v>2964</v>
      </c>
      <c r="E888" s="139" t="s">
        <v>2965</v>
      </c>
      <c r="F888" s="138" t="s">
        <v>2966</v>
      </c>
      <c r="K888" s="142"/>
    </row>
    <row r="889" spans="3:11">
      <c r="C889" s="20">
        <v>884</v>
      </c>
      <c r="D889" s="118" t="s">
        <v>2984</v>
      </c>
      <c r="E889" s="137" t="s">
        <v>2968</v>
      </c>
      <c r="F889" s="125" t="s">
        <v>2969</v>
      </c>
      <c r="K889" s="142"/>
    </row>
    <row r="890" spans="3:11">
      <c r="C890" s="20">
        <v>885</v>
      </c>
      <c r="D890" s="138" t="s">
        <v>2961</v>
      </c>
      <c r="E890" s="139" t="s">
        <v>2962</v>
      </c>
      <c r="F890" s="138" t="s">
        <v>2963</v>
      </c>
      <c r="K890" s="142"/>
    </row>
    <row r="891" spans="3:11">
      <c r="C891" s="20">
        <v>886</v>
      </c>
      <c r="D891" s="372" t="s">
        <v>2964</v>
      </c>
      <c r="E891" s="139" t="s">
        <v>2965</v>
      </c>
      <c r="F891" s="138" t="s">
        <v>2966</v>
      </c>
      <c r="K891" s="142"/>
    </row>
    <row r="892" spans="3:11">
      <c r="C892" s="20">
        <v>887</v>
      </c>
      <c r="D892" s="77" t="s">
        <v>2970</v>
      </c>
      <c r="E892" s="136" t="s">
        <v>2971</v>
      </c>
      <c r="F892" s="86" t="s">
        <v>2972</v>
      </c>
      <c r="K892" s="142"/>
    </row>
    <row r="893" spans="3:11">
      <c r="C893" s="20">
        <v>888</v>
      </c>
      <c r="D893" s="118" t="s">
        <v>2985</v>
      </c>
      <c r="E893" s="137" t="s">
        <v>2974</v>
      </c>
      <c r="F893" s="125" t="s">
        <v>2975</v>
      </c>
      <c r="K893" s="142"/>
    </row>
    <row r="894" spans="3:11">
      <c r="C894" s="20">
        <v>889</v>
      </c>
      <c r="D894" s="138" t="s">
        <v>2976</v>
      </c>
      <c r="E894" s="139" t="s">
        <v>2977</v>
      </c>
      <c r="F894" s="138" t="s">
        <v>2963</v>
      </c>
      <c r="K894" s="142"/>
    </row>
    <row r="895" spans="3:11">
      <c r="C895" s="20">
        <v>890</v>
      </c>
      <c r="D895" s="138" t="s">
        <v>2978</v>
      </c>
      <c r="E895" s="139" t="s">
        <v>2979</v>
      </c>
      <c r="F895" s="138" t="s">
        <v>2966</v>
      </c>
      <c r="K895" s="142"/>
    </row>
    <row r="896" spans="3:11">
      <c r="C896" s="20">
        <v>891</v>
      </c>
      <c r="D896" s="118" t="s">
        <v>2986</v>
      </c>
      <c r="E896" s="137" t="s">
        <v>2981</v>
      </c>
      <c r="F896" s="125" t="s">
        <v>2982</v>
      </c>
      <c r="K896" s="142"/>
    </row>
    <row r="897" spans="3:11">
      <c r="C897" s="20">
        <v>892</v>
      </c>
      <c r="D897" s="138" t="s">
        <v>2976</v>
      </c>
      <c r="E897" s="139" t="s">
        <v>2977</v>
      </c>
      <c r="F897" s="138" t="s">
        <v>2963</v>
      </c>
      <c r="K897" s="142"/>
    </row>
    <row r="898" spans="3:11">
      <c r="C898" s="20">
        <v>893</v>
      </c>
      <c r="D898" s="138" t="s">
        <v>2978</v>
      </c>
      <c r="E898" s="139" t="s">
        <v>2979</v>
      </c>
      <c r="F898" s="138" t="s">
        <v>2966</v>
      </c>
      <c r="K898" s="142"/>
    </row>
    <row r="899" spans="3:11">
      <c r="C899" s="20">
        <v>894</v>
      </c>
      <c r="D899" s="74" t="s">
        <v>2990</v>
      </c>
      <c r="E899" s="75" t="s">
        <v>2991</v>
      </c>
      <c r="F899" s="83" t="s">
        <v>2992</v>
      </c>
      <c r="H899" s="171"/>
      <c r="I899" s="171"/>
      <c r="J899" s="171"/>
      <c r="K899" s="172"/>
    </row>
    <row r="900" spans="3:11" ht="13.5" thickBot="1">
      <c r="C900" s="20">
        <v>895</v>
      </c>
      <c r="D900" s="77" t="s">
        <v>2993</v>
      </c>
      <c r="E900" s="78" t="s">
        <v>2994</v>
      </c>
      <c r="F900" s="86" t="s">
        <v>2995</v>
      </c>
      <c r="H900" s="173"/>
      <c r="I900" s="173"/>
      <c r="J900" s="173"/>
      <c r="K900" s="174"/>
    </row>
    <row r="901" spans="3:11">
      <c r="C901" s="20">
        <v>896</v>
      </c>
      <c r="D901" s="541" t="s">
        <v>2996</v>
      </c>
      <c r="E901" s="542"/>
      <c r="K901" s="142"/>
    </row>
    <row r="902" spans="3:11">
      <c r="C902" s="20">
        <v>897</v>
      </c>
      <c r="D902" s="53"/>
      <c r="E902" s="7"/>
      <c r="F902" s="53"/>
      <c r="K902" s="142"/>
    </row>
    <row r="903" spans="3:11">
      <c r="C903" s="20">
        <v>898</v>
      </c>
      <c r="D903" s="178" t="s">
        <v>2997</v>
      </c>
      <c r="E903" s="178" t="s">
        <v>2998</v>
      </c>
      <c r="F903" s="178" t="s">
        <v>2999</v>
      </c>
      <c r="K903" s="142"/>
    </row>
    <row r="904" spans="3:11" ht="25.5">
      <c r="C904" s="20">
        <v>899</v>
      </c>
      <c r="D904" s="373" t="s">
        <v>3000</v>
      </c>
      <c r="E904" s="373" t="s">
        <v>3001</v>
      </c>
      <c r="F904" s="373" t="s">
        <v>2999</v>
      </c>
      <c r="K904" s="142"/>
    </row>
    <row r="905" spans="3:11">
      <c r="C905" s="20">
        <v>900</v>
      </c>
      <c r="D905" s="178" t="s">
        <v>3002</v>
      </c>
      <c r="E905" s="178" t="s">
        <v>3003</v>
      </c>
      <c r="F905" s="178" t="s">
        <v>2999</v>
      </c>
      <c r="K905" s="142"/>
    </row>
    <row r="906" spans="3:11" ht="25.5">
      <c r="C906" s="20">
        <v>901</v>
      </c>
      <c r="D906" s="373" t="s">
        <v>3004</v>
      </c>
      <c r="E906" s="373" t="s">
        <v>3005</v>
      </c>
      <c r="F906" s="373" t="s">
        <v>2999</v>
      </c>
      <c r="K906" s="142"/>
    </row>
    <row r="907" spans="3:11">
      <c r="C907" s="20">
        <v>902</v>
      </c>
      <c r="D907" s="178" t="s">
        <v>3006</v>
      </c>
      <c r="E907" s="178" t="s">
        <v>3007</v>
      </c>
      <c r="F907" s="178" t="s">
        <v>2999</v>
      </c>
      <c r="K907" s="142"/>
    </row>
    <row r="908" spans="3:11" ht="38.25">
      <c r="C908" s="20">
        <v>903</v>
      </c>
      <c r="D908" s="373" t="s">
        <v>3008</v>
      </c>
      <c r="E908" s="373" t="s">
        <v>3009</v>
      </c>
      <c r="F908" s="373" t="s">
        <v>2999</v>
      </c>
      <c r="K908" s="142"/>
    </row>
    <row r="909" spans="3:11">
      <c r="C909" s="20">
        <v>904</v>
      </c>
      <c r="D909" s="178" t="s">
        <v>3010</v>
      </c>
      <c r="E909" s="178" t="s">
        <v>3011</v>
      </c>
      <c r="F909" s="178" t="s">
        <v>2999</v>
      </c>
      <c r="K909" s="142"/>
    </row>
    <row r="910" spans="3:11" ht="38.25">
      <c r="C910" s="20">
        <v>905</v>
      </c>
      <c r="D910" s="373" t="s">
        <v>3012</v>
      </c>
      <c r="E910" s="373" t="s">
        <v>3013</v>
      </c>
      <c r="F910" s="373" t="s">
        <v>2999</v>
      </c>
      <c r="K910" s="142"/>
    </row>
    <row r="911" spans="3:11" ht="25.5">
      <c r="C911" s="20">
        <v>906</v>
      </c>
      <c r="D911" s="178" t="s">
        <v>3014</v>
      </c>
      <c r="E911" s="178" t="s">
        <v>3015</v>
      </c>
      <c r="F911" s="178" t="s">
        <v>2999</v>
      </c>
      <c r="K911" s="142"/>
    </row>
    <row r="912" spans="3:11" ht="25.5">
      <c r="C912" s="20">
        <v>907</v>
      </c>
      <c r="D912" s="373" t="s">
        <v>3016</v>
      </c>
      <c r="E912" s="373" t="s">
        <v>3017</v>
      </c>
      <c r="F912" s="373" t="s">
        <v>2999</v>
      </c>
      <c r="K912" s="142"/>
    </row>
    <row r="913" spans="3:11" ht="25.5">
      <c r="C913" s="20">
        <v>908</v>
      </c>
      <c r="D913" s="178" t="s">
        <v>3018</v>
      </c>
      <c r="E913" s="178" t="s">
        <v>3019</v>
      </c>
      <c r="F913" s="178" t="s">
        <v>2999</v>
      </c>
      <c r="K913" s="142"/>
    </row>
    <row r="914" spans="3:11" ht="25.5">
      <c r="C914" s="20">
        <v>909</v>
      </c>
      <c r="D914" s="373" t="s">
        <v>3020</v>
      </c>
      <c r="E914" s="373" t="s">
        <v>3021</v>
      </c>
      <c r="F914" s="373" t="s">
        <v>2999</v>
      </c>
      <c r="K914" s="142"/>
    </row>
    <row r="915" spans="3:11" ht="25.5">
      <c r="C915" s="20">
        <v>910</v>
      </c>
      <c r="D915" s="178" t="s">
        <v>3022</v>
      </c>
      <c r="E915" s="178" t="s">
        <v>3023</v>
      </c>
      <c r="F915" s="178" t="s">
        <v>2999</v>
      </c>
      <c r="K915" s="142"/>
    </row>
    <row r="916" spans="3:11" ht="38.25">
      <c r="C916" s="20">
        <v>911</v>
      </c>
      <c r="D916" s="373" t="s">
        <v>3024</v>
      </c>
      <c r="E916" s="373" t="s">
        <v>3025</v>
      </c>
      <c r="F916" s="373" t="s">
        <v>2999</v>
      </c>
      <c r="K916" s="142"/>
    </row>
    <row r="917" spans="3:11" ht="25.5">
      <c r="C917" s="20">
        <v>912</v>
      </c>
      <c r="D917" s="178" t="s">
        <v>3026</v>
      </c>
      <c r="E917" s="178" t="s">
        <v>3027</v>
      </c>
      <c r="F917" s="178" t="s">
        <v>2999</v>
      </c>
      <c r="K917" s="142"/>
    </row>
    <row r="918" spans="3:11" ht="38.25">
      <c r="C918" s="20">
        <v>913</v>
      </c>
      <c r="D918" s="373" t="s">
        <v>3028</v>
      </c>
      <c r="E918" s="373" t="s">
        <v>3029</v>
      </c>
      <c r="F918" s="373" t="s">
        <v>2999</v>
      </c>
      <c r="K918" s="142"/>
    </row>
    <row r="919" spans="3:11" ht="25.5">
      <c r="C919" s="20">
        <v>914</v>
      </c>
      <c r="D919" s="372" t="s">
        <v>3030</v>
      </c>
      <c r="E919" s="178" t="s">
        <v>3031</v>
      </c>
      <c r="F919" s="372" t="s">
        <v>2999</v>
      </c>
      <c r="K919" s="142"/>
    </row>
    <row r="920" spans="3:11" ht="38.25">
      <c r="C920" s="20">
        <v>915</v>
      </c>
      <c r="D920" s="373" t="s">
        <v>3032</v>
      </c>
      <c r="E920" s="373" t="s">
        <v>3033</v>
      </c>
      <c r="F920" s="373" t="s">
        <v>2999</v>
      </c>
      <c r="K920" s="142"/>
    </row>
    <row r="921" spans="3:11" ht="25.5">
      <c r="C921" s="20">
        <v>916</v>
      </c>
      <c r="D921" s="178" t="s">
        <v>3034</v>
      </c>
      <c r="E921" s="178" t="s">
        <v>3035</v>
      </c>
      <c r="F921" s="178" t="s">
        <v>2999</v>
      </c>
      <c r="K921" s="142"/>
    </row>
    <row r="922" spans="3:11" ht="38.25">
      <c r="C922" s="20">
        <v>917</v>
      </c>
      <c r="D922" s="373" t="s">
        <v>3036</v>
      </c>
      <c r="E922" s="373" t="s">
        <v>3037</v>
      </c>
      <c r="F922" s="373" t="s">
        <v>2999</v>
      </c>
      <c r="K922" s="142"/>
    </row>
    <row r="923" spans="3:11">
      <c r="C923" s="20">
        <v>918</v>
      </c>
      <c r="D923" s="374"/>
      <c r="E923" s="375"/>
      <c r="F923" s="376"/>
      <c r="K923" s="142"/>
    </row>
    <row r="924" spans="3:11">
      <c r="C924" s="20">
        <v>919</v>
      </c>
      <c r="D924" s="377"/>
      <c r="E924" s="378"/>
      <c r="F924" s="376"/>
      <c r="K924" s="142"/>
    </row>
    <row r="925" spans="3:11">
      <c r="C925" s="20">
        <v>920</v>
      </c>
      <c r="D925" s="178" t="s">
        <v>2997</v>
      </c>
      <c r="E925" s="178" t="str">
        <f>+E903</f>
        <v>Nominalwert der Währungsswaps &lt; 5 Jahre</v>
      </c>
      <c r="F925" s="178" t="s">
        <v>2999</v>
      </c>
      <c r="K925" s="142"/>
    </row>
    <row r="926" spans="3:11" ht="25.5">
      <c r="C926" s="20">
        <v>921</v>
      </c>
      <c r="D926" s="373" t="s">
        <v>3000</v>
      </c>
      <c r="E926" s="373" t="str">
        <f t="shared" ref="E926:E944" si="0">+E904</f>
        <v>Nominalwert der Währungsswaps mit einer DURCHSCHNITTLICHEN LAUFZEIT &lt; 5 Jahren</v>
      </c>
      <c r="F926" s="373" t="s">
        <v>2999</v>
      </c>
      <c r="K926" s="142"/>
    </row>
    <row r="927" spans="3:11">
      <c r="C927" s="20">
        <v>922</v>
      </c>
      <c r="D927" s="178" t="s">
        <v>3002</v>
      </c>
      <c r="E927" s="178" t="str">
        <f t="shared" si="0"/>
        <v>Nominalwert der Währungsswaps 5 - &lt;10 Jahre</v>
      </c>
      <c r="F927" s="178" t="s">
        <v>2999</v>
      </c>
      <c r="K927" s="142"/>
    </row>
    <row r="928" spans="3:11" ht="25.5">
      <c r="C928" s="20">
        <v>923</v>
      </c>
      <c r="D928" s="373" t="s">
        <v>3004</v>
      </c>
      <c r="E928" s="373" t="str">
        <f t="shared" si="0"/>
        <v>Nominalwert der Währungsswaps mit einer DURCHSCHNITTLICHEN LAUFZEIT von 5 - &lt; 10 Jahren</v>
      </c>
      <c r="F928" s="373" t="s">
        <v>2999</v>
      </c>
      <c r="K928" s="142"/>
    </row>
    <row r="929" spans="3:11">
      <c r="C929" s="20">
        <v>924</v>
      </c>
      <c r="D929" s="178" t="s">
        <v>3006</v>
      </c>
      <c r="E929" s="178" t="str">
        <f t="shared" si="0"/>
        <v>Nominalwert der Währungsswaps 10 - &lt;15 Jahre</v>
      </c>
      <c r="F929" s="178" t="s">
        <v>2999</v>
      </c>
      <c r="K929" s="142"/>
    </row>
    <row r="930" spans="3:11" ht="38.25">
      <c r="C930" s="20">
        <v>925</v>
      </c>
      <c r="D930" s="373" t="s">
        <v>3008</v>
      </c>
      <c r="E930" s="373" t="str">
        <f t="shared" si="0"/>
        <v>Nominalwert der Währungsswaps mit einer DURCHSCHNITTLICHEN LAUFZEIT von 10 - &lt; 15 Jahren</v>
      </c>
      <c r="F930" s="373" t="s">
        <v>2999</v>
      </c>
      <c r="K930" s="142"/>
    </row>
    <row r="931" spans="3:11">
      <c r="C931" s="20">
        <v>926</v>
      </c>
      <c r="D931" s="178" t="s">
        <v>3010</v>
      </c>
      <c r="E931" s="178" t="str">
        <f t="shared" si="0"/>
        <v>Nominalwert der Währungsswaps 15 - &lt;25 Jahre</v>
      </c>
      <c r="F931" s="178" t="s">
        <v>2999</v>
      </c>
      <c r="K931" s="142"/>
    </row>
    <row r="932" spans="3:11" ht="38.25">
      <c r="C932" s="20">
        <v>927</v>
      </c>
      <c r="D932" s="373" t="s">
        <v>3012</v>
      </c>
      <c r="E932" s="373" t="str">
        <f t="shared" si="0"/>
        <v>Nominalwert der Währungsswaps mit einer DURCHSCHNITTLICHEN LAUFZEIT von 15 - &lt; 25 Jahren</v>
      </c>
      <c r="F932" s="373" t="s">
        <v>2999</v>
      </c>
      <c r="K932" s="142"/>
    </row>
    <row r="933" spans="3:11" ht="25.5">
      <c r="C933" s="20">
        <v>928</v>
      </c>
      <c r="D933" s="178" t="s">
        <v>3014</v>
      </c>
      <c r="E933" s="178" t="str">
        <f t="shared" si="0"/>
        <v>Nominalwert der Währungsswaps 25 Jahre und laenger</v>
      </c>
      <c r="F933" s="178" t="s">
        <v>2999</v>
      </c>
      <c r="K933" s="142"/>
    </row>
    <row r="934" spans="3:11" ht="25.5">
      <c r="C934" s="20">
        <v>929</v>
      </c>
      <c r="D934" s="373" t="s">
        <v>3016</v>
      </c>
      <c r="E934" s="373" t="str">
        <f t="shared" si="0"/>
        <v>Nominalwert der Währungsswaps mit einer DURCHSCHNITTLICHEN LAUFZEIT mehr als 25 Jahren</v>
      </c>
      <c r="F934" s="373" t="s">
        <v>2999</v>
      </c>
      <c r="K934" s="142"/>
    </row>
    <row r="935" spans="3:11" ht="25.5">
      <c r="C935" s="20">
        <v>930</v>
      </c>
      <c r="D935" s="372" t="s">
        <v>3018</v>
      </c>
      <c r="E935" s="178" t="str">
        <f t="shared" si="0"/>
        <v>Durchschnittlicher Währungskurs der Währungsswaps &lt; 5 Jahre</v>
      </c>
      <c r="F935" s="372" t="s">
        <v>2999</v>
      </c>
      <c r="K935" s="142"/>
    </row>
    <row r="936" spans="3:11" ht="25.5">
      <c r="C936" s="20">
        <v>931</v>
      </c>
      <c r="D936" s="373" t="s">
        <v>3020</v>
      </c>
      <c r="E936" s="373" t="str">
        <f t="shared" si="0"/>
        <v>Durchschnittlicher Währungskurs der Währungsswaps mit einer DURCHSCHNITTLICHEN LAUFZEIT &lt; 5 Jahre</v>
      </c>
      <c r="F936" s="373" t="s">
        <v>2999</v>
      </c>
      <c r="K936" s="142"/>
    </row>
    <row r="937" spans="3:11" ht="25.5">
      <c r="C937" s="20">
        <v>932</v>
      </c>
      <c r="D937" s="178" t="s">
        <v>3022</v>
      </c>
      <c r="E937" s="178" t="str">
        <f t="shared" si="0"/>
        <v>Durchschnittlicher Währungskurs der Währungsswaps 5 - &lt; 10 Jahre</v>
      </c>
      <c r="F937" s="178" t="s">
        <v>2999</v>
      </c>
      <c r="K937" s="142"/>
    </row>
    <row r="938" spans="3:11" ht="38.25">
      <c r="C938" s="20">
        <v>933</v>
      </c>
      <c r="D938" s="373" t="s">
        <v>3024</v>
      </c>
      <c r="E938" s="373" t="str">
        <f t="shared" si="0"/>
        <v>Durchschnittlicher Währungskurs der Währungsswaps mit einer DURCHSCHNITTLICHEN LAUFZEIT von 5 - &lt; 10 Jahren</v>
      </c>
      <c r="F938" s="373" t="s">
        <v>2999</v>
      </c>
      <c r="K938" s="142"/>
    </row>
    <row r="939" spans="3:11" ht="25.5">
      <c r="C939" s="20">
        <v>934</v>
      </c>
      <c r="D939" s="178" t="s">
        <v>3026</v>
      </c>
      <c r="E939" s="178" t="str">
        <f t="shared" si="0"/>
        <v>Durchschnittlicher Währungskurs der Währungsswaps 10 - &lt; 15 Jahre</v>
      </c>
      <c r="F939" s="178" t="s">
        <v>2999</v>
      </c>
      <c r="K939" s="142"/>
    </row>
    <row r="940" spans="3:11" ht="38.25">
      <c r="C940" s="20">
        <v>935</v>
      </c>
      <c r="D940" s="373" t="s">
        <v>3028</v>
      </c>
      <c r="E940" s="373" t="str">
        <f t="shared" si="0"/>
        <v>Durchschnittlicher Währungskurs der Währungsswaps mit einer DURCHSCHNITTLICHEN LAUFZEIT von 10 - &lt; 15 Jahren</v>
      </c>
      <c r="F940" s="373" t="s">
        <v>2999</v>
      </c>
      <c r="K940" s="142"/>
    </row>
    <row r="941" spans="3:11" ht="25.5">
      <c r="C941" s="20">
        <v>936</v>
      </c>
      <c r="D941" s="178" t="s">
        <v>3030</v>
      </c>
      <c r="E941" s="178" t="str">
        <f t="shared" si="0"/>
        <v>Durchschnittlicher Währungskurs der Währungsswaps 15 - &lt; 25 Jahre</v>
      </c>
      <c r="F941" s="178" t="s">
        <v>2999</v>
      </c>
      <c r="K941" s="142"/>
    </row>
    <row r="942" spans="3:11" ht="38.25">
      <c r="C942" s="20">
        <v>937</v>
      </c>
      <c r="D942" s="373" t="s">
        <v>3032</v>
      </c>
      <c r="E942" s="373" t="str">
        <f t="shared" si="0"/>
        <v>Durchschnittlicher Währungskurs der Währungsswaps mit einer DURCHSCHNITTLICHEN LAUFZEIT von 15 - &lt; 25 Jahren</v>
      </c>
      <c r="F942" s="373" t="s">
        <v>2999</v>
      </c>
      <c r="K942" s="142"/>
    </row>
    <row r="943" spans="3:11" ht="25.5">
      <c r="C943" s="20">
        <v>938</v>
      </c>
      <c r="D943" s="178" t="s">
        <v>3034</v>
      </c>
      <c r="E943" s="178" t="str">
        <f t="shared" si="0"/>
        <v>Durchschnittlicher Währungskurs der Währungsswaps  25 Jahre und laenger</v>
      </c>
      <c r="F943" s="178" t="s">
        <v>2999</v>
      </c>
      <c r="K943" s="142"/>
    </row>
    <row r="944" spans="3:11" ht="38.25">
      <c r="C944" s="20">
        <v>939</v>
      </c>
      <c r="D944" s="373" t="s">
        <v>3036</v>
      </c>
      <c r="E944" s="373" t="str">
        <f t="shared" si="0"/>
        <v>Durchschnittlicher Währungskurs der Währungsswaps mit einer DURCHSCHNITTLICHEN LAUFZEIT von mehr als 25 Jahren</v>
      </c>
      <c r="F944" s="373" t="s">
        <v>2999</v>
      </c>
      <c r="K944" s="142"/>
    </row>
    <row r="945" spans="3:11">
      <c r="C945" s="20">
        <v>940</v>
      </c>
      <c r="D945" s="372"/>
      <c r="E945" s="379"/>
      <c r="F945" s="372"/>
      <c r="K945" s="142"/>
    </row>
    <row r="946" spans="3:11">
      <c r="C946" s="20">
        <v>941</v>
      </c>
      <c r="D946" s="372"/>
      <c r="E946" s="379"/>
      <c r="F946" s="372"/>
      <c r="K946" s="142"/>
    </row>
    <row r="947" spans="3:11" ht="13.5" thickBot="1">
      <c r="C947" s="20">
        <v>942</v>
      </c>
      <c r="D947" s="372"/>
      <c r="E947" s="379"/>
      <c r="F947" s="372"/>
      <c r="K947" s="142"/>
    </row>
    <row r="948" spans="3:11">
      <c r="C948" s="20">
        <v>943</v>
      </c>
      <c r="D948" s="541" t="s">
        <v>3038</v>
      </c>
      <c r="E948" s="543"/>
      <c r="F948" s="372"/>
      <c r="K948" s="142"/>
    </row>
    <row r="949" spans="3:11">
      <c r="C949" s="20">
        <v>944</v>
      </c>
      <c r="D949" s="372" t="s">
        <v>3039</v>
      </c>
      <c r="E949" s="379" t="s">
        <v>3040</v>
      </c>
      <c r="F949" s="372" t="s">
        <v>3041</v>
      </c>
      <c r="K949" s="142"/>
    </row>
    <row r="950" spans="3:11" ht="76.5">
      <c r="C950" s="20">
        <v>945</v>
      </c>
      <c r="D950" s="372" t="s">
        <v>3042</v>
      </c>
      <c r="E950" s="379" t="s">
        <v>3043</v>
      </c>
      <c r="F950" s="372" t="s">
        <v>3044</v>
      </c>
      <c r="K950" s="142"/>
    </row>
    <row r="951" spans="3:11">
      <c r="C951" s="20">
        <v>946</v>
      </c>
      <c r="D951" s="372"/>
      <c r="E951" s="379"/>
      <c r="F951" s="372"/>
      <c r="K951" s="142"/>
    </row>
    <row r="952" spans="3:11">
      <c r="C952" s="20">
        <v>947</v>
      </c>
      <c r="D952" s="372"/>
      <c r="E952" s="379"/>
      <c r="F952" s="372"/>
      <c r="K952" s="142"/>
    </row>
    <row r="953" spans="3:11" ht="38.25">
      <c r="C953" s="20">
        <v>948</v>
      </c>
      <c r="D953" s="372" t="s">
        <v>3045</v>
      </c>
      <c r="E953" s="379" t="s">
        <v>3046</v>
      </c>
      <c r="F953" s="372" t="s">
        <v>3047</v>
      </c>
      <c r="K953" s="142"/>
    </row>
    <row r="954" spans="3:11" ht="38.25">
      <c r="C954" s="20">
        <v>949</v>
      </c>
      <c r="D954" s="372" t="s">
        <v>3048</v>
      </c>
      <c r="E954" s="380" t="s">
        <v>3049</v>
      </c>
      <c r="F954" s="372" t="s">
        <v>3050</v>
      </c>
      <c r="K954" s="142"/>
    </row>
    <row r="955" spans="3:11">
      <c r="C955" s="20">
        <v>950</v>
      </c>
      <c r="D955" s="372"/>
      <c r="E955" s="379"/>
      <c r="F955" s="372"/>
      <c r="K955" s="142"/>
    </row>
    <row r="956" spans="3:11" ht="38.25">
      <c r="C956" s="20">
        <v>951</v>
      </c>
      <c r="D956" s="372" t="s">
        <v>3051</v>
      </c>
      <c r="E956" s="379" t="s">
        <v>3052</v>
      </c>
      <c r="F956" s="372" t="s">
        <v>1815</v>
      </c>
      <c r="K956" s="142"/>
    </row>
    <row r="957" spans="3:11" ht="38.25">
      <c r="C957" s="20">
        <v>952</v>
      </c>
      <c r="D957" s="372" t="s">
        <v>3053</v>
      </c>
      <c r="E957" s="379" t="s">
        <v>3054</v>
      </c>
      <c r="F957" s="372" t="s">
        <v>3055</v>
      </c>
      <c r="K957" s="142"/>
    </row>
    <row r="958" spans="3:11">
      <c r="C958" s="20">
        <v>953</v>
      </c>
      <c r="D958" s="372"/>
      <c r="E958" s="379"/>
      <c r="F958" s="372"/>
      <c r="K958" s="142"/>
    </row>
    <row r="959" spans="3:11">
      <c r="C959" s="20">
        <v>954</v>
      </c>
      <c r="D959" s="372" t="s">
        <v>3056</v>
      </c>
      <c r="E959" s="379" t="s">
        <v>3057</v>
      </c>
      <c r="F959" s="372" t="s">
        <v>3058</v>
      </c>
      <c r="K959" s="142"/>
    </row>
    <row r="960" spans="3:11">
      <c r="C960" s="20">
        <v>955</v>
      </c>
      <c r="D960" s="372" t="s">
        <v>3059</v>
      </c>
      <c r="E960" s="379" t="s">
        <v>3060</v>
      </c>
      <c r="F960" s="372" t="s">
        <v>3061</v>
      </c>
      <c r="K960" s="142"/>
    </row>
    <row r="961" spans="3:13" ht="25.5">
      <c r="C961" s="20">
        <v>956</v>
      </c>
      <c r="D961" s="372" t="s">
        <v>3062</v>
      </c>
      <c r="E961" s="379" t="s">
        <v>3063</v>
      </c>
      <c r="F961" s="372" t="s">
        <v>3064</v>
      </c>
      <c r="K961" s="142"/>
    </row>
    <row r="962" spans="3:13" ht="25.5">
      <c r="C962" s="20">
        <v>957</v>
      </c>
      <c r="D962" s="372" t="s">
        <v>3065</v>
      </c>
      <c r="E962" s="379" t="s">
        <v>3066</v>
      </c>
      <c r="F962" s="372" t="s">
        <v>3064</v>
      </c>
      <c r="K962" s="142"/>
    </row>
    <row r="963" spans="3:13" ht="13.5" thickBot="1">
      <c r="C963" s="20">
        <v>958</v>
      </c>
      <c r="D963" s="372"/>
      <c r="E963" s="379"/>
      <c r="F963" s="372"/>
      <c r="K963" s="142"/>
    </row>
    <row r="964" spans="3:13" ht="12.75" customHeight="1">
      <c r="C964" s="20">
        <v>959</v>
      </c>
      <c r="D964" s="541" t="s">
        <v>3067</v>
      </c>
      <c r="E964" s="543"/>
      <c r="F964" s="247"/>
      <c r="K964" s="142"/>
    </row>
    <row r="965" spans="3:13" ht="25.5">
      <c r="C965" s="20">
        <v>960</v>
      </c>
      <c r="D965" s="280" t="s">
        <v>3068</v>
      </c>
      <c r="E965" s="379" t="s">
        <v>3069</v>
      </c>
      <c r="F965" s="381" t="s">
        <v>3070</v>
      </c>
      <c r="K965" s="142"/>
    </row>
    <row r="966" spans="3:13" ht="14.25">
      <c r="C966" s="20">
        <v>961</v>
      </c>
      <c r="D966" s="280" t="s">
        <v>3071</v>
      </c>
      <c r="E966" s="379" t="s">
        <v>3072</v>
      </c>
      <c r="F966" s="381" t="s">
        <v>3073</v>
      </c>
      <c r="K966" s="142"/>
    </row>
    <row r="967" spans="3:13" ht="14.25">
      <c r="C967" s="20">
        <v>962</v>
      </c>
      <c r="D967" s="181" t="s">
        <v>3074</v>
      </c>
      <c r="E967" s="379" t="s">
        <v>13</v>
      </c>
      <c r="F967" s="381" t="s">
        <v>3075</v>
      </c>
      <c r="K967" s="142"/>
    </row>
    <row r="968" spans="3:13" ht="14.25">
      <c r="C968" s="20">
        <v>963</v>
      </c>
      <c r="D968" s="181" t="s">
        <v>3076</v>
      </c>
      <c r="E968" s="379" t="s">
        <v>3077</v>
      </c>
      <c r="F968" s="281" t="s">
        <v>3078</v>
      </c>
      <c r="K968" s="142"/>
    </row>
    <row r="969" spans="3:13" ht="24">
      <c r="C969" s="20">
        <v>964</v>
      </c>
      <c r="D969" s="279" t="s">
        <v>3079</v>
      </c>
      <c r="E969" s="279" t="s">
        <v>3080</v>
      </c>
      <c r="F969" s="279" t="s">
        <v>3081</v>
      </c>
      <c r="K969" s="142"/>
    </row>
    <row r="970" spans="3:13">
      <c r="C970" s="20">
        <v>965</v>
      </c>
      <c r="D970" s="282"/>
      <c r="E970" s="7"/>
      <c r="F970" s="281"/>
      <c r="K970" s="142"/>
    </row>
    <row r="971" spans="3:13">
      <c r="C971" s="20">
        <v>966</v>
      </c>
      <c r="D971" s="381"/>
      <c r="E971" s="379"/>
      <c r="F971" s="381"/>
      <c r="K971" s="142"/>
    </row>
    <row r="972" spans="3:13">
      <c r="C972" s="20">
        <v>967</v>
      </c>
      <c r="D972" s="381"/>
      <c r="E972" s="379"/>
      <c r="F972" s="381"/>
      <c r="K972" s="142"/>
    </row>
    <row r="973" spans="3:13">
      <c r="C973" s="20">
        <v>968</v>
      </c>
      <c r="D973" s="538" t="s">
        <v>3082</v>
      </c>
      <c r="E973" s="539"/>
      <c r="F973" s="382"/>
      <c r="K973" s="142"/>
    </row>
    <row r="974" spans="3:13" ht="22.5">
      <c r="C974" s="20">
        <v>969</v>
      </c>
      <c r="D974" s="113" t="s">
        <v>3083</v>
      </c>
      <c r="E974" s="113" t="s">
        <v>3083</v>
      </c>
      <c r="F974" s="113" t="s">
        <v>3083</v>
      </c>
      <c r="G974" s="182"/>
      <c r="H974" s="182"/>
      <c r="I974" s="182"/>
      <c r="J974" s="182"/>
      <c r="K974" s="182"/>
      <c r="L974" s="182"/>
      <c r="M974" s="182"/>
    </row>
    <row r="975" spans="3:13">
      <c r="C975" s="20">
        <v>970</v>
      </c>
      <c r="D975" s="53" t="s">
        <v>3084</v>
      </c>
      <c r="E975" s="53" t="s">
        <v>3085</v>
      </c>
      <c r="F975" s="53" t="s">
        <v>3086</v>
      </c>
      <c r="G975" s="182"/>
      <c r="H975" s="182"/>
      <c r="I975" s="182"/>
      <c r="J975" s="182"/>
      <c r="K975" s="182"/>
      <c r="L975" s="182"/>
      <c r="M975" s="182"/>
    </row>
    <row r="976" spans="3:13" ht="31.5" customHeight="1">
      <c r="C976" s="20">
        <v>971</v>
      </c>
      <c r="D976" s="383" t="s">
        <v>3087</v>
      </c>
      <c r="E976" s="383" t="s">
        <v>3088</v>
      </c>
      <c r="F976" s="383" t="s">
        <v>3089</v>
      </c>
      <c r="G976" s="182"/>
      <c r="H976" s="182"/>
      <c r="I976" s="182"/>
      <c r="J976" s="182"/>
      <c r="K976" s="182"/>
      <c r="L976" s="182"/>
      <c r="M976" s="182"/>
    </row>
    <row r="977" spans="3:13" ht="27.75" customHeight="1">
      <c r="C977" s="20">
        <v>972</v>
      </c>
      <c r="D977" s="383" t="s">
        <v>3090</v>
      </c>
      <c r="E977" s="383" t="s">
        <v>3091</v>
      </c>
      <c r="F977" s="383" t="s">
        <v>3092</v>
      </c>
      <c r="G977" s="182"/>
      <c r="H977" s="182"/>
      <c r="I977" s="182"/>
      <c r="J977" s="182"/>
      <c r="K977" s="182"/>
      <c r="L977" s="182"/>
      <c r="M977" s="182"/>
    </row>
    <row r="978" spans="3:13" ht="25.5">
      <c r="C978" s="20">
        <v>973</v>
      </c>
      <c r="D978" s="383" t="s">
        <v>3093</v>
      </c>
      <c r="E978" s="383" t="s">
        <v>3094</v>
      </c>
      <c r="F978" s="248" t="s">
        <v>3095</v>
      </c>
      <c r="K978" s="142"/>
    </row>
    <row r="979" spans="3:13" ht="25.5">
      <c r="C979" s="20">
        <v>974</v>
      </c>
      <c r="D979" s="383" t="s">
        <v>3096</v>
      </c>
      <c r="E979" s="383" t="s">
        <v>3097</v>
      </c>
      <c r="F979" s="383" t="s">
        <v>3098</v>
      </c>
      <c r="K979" s="142"/>
    </row>
    <row r="980" spans="3:13" ht="38.25">
      <c r="C980" s="20">
        <v>975</v>
      </c>
      <c r="D980" s="383" t="s">
        <v>3099</v>
      </c>
      <c r="E980" s="383" t="s">
        <v>3100</v>
      </c>
      <c r="F980" s="248" t="s">
        <v>3101</v>
      </c>
      <c r="K980" s="142"/>
    </row>
    <row r="981" spans="3:13" ht="51">
      <c r="C981" s="20">
        <v>976</v>
      </c>
      <c r="D981" s="372" t="s">
        <v>3102</v>
      </c>
      <c r="E981" s="383" t="s">
        <v>3103</v>
      </c>
      <c r="F981" s="383" t="s">
        <v>3104</v>
      </c>
      <c r="K981" s="142"/>
    </row>
    <row r="982" spans="3:13">
      <c r="C982" s="20">
        <v>977</v>
      </c>
      <c r="D982" s="53"/>
      <c r="E982" s="383"/>
      <c r="F982" s="53"/>
      <c r="K982" s="142"/>
    </row>
    <row r="983" spans="3:13">
      <c r="C983" s="20">
        <v>978</v>
      </c>
      <c r="D983" s="372" t="s">
        <v>3105</v>
      </c>
      <c r="E983" s="383" t="s">
        <v>3106</v>
      </c>
      <c r="F983" s="372" t="s">
        <v>3107</v>
      </c>
      <c r="K983" s="142"/>
    </row>
    <row r="984" spans="3:13">
      <c r="C984" s="20">
        <v>979</v>
      </c>
      <c r="D984" s="372" t="s">
        <v>3108</v>
      </c>
      <c r="E984" s="383" t="s">
        <v>3109</v>
      </c>
      <c r="F984" s="372" t="s">
        <v>3110</v>
      </c>
      <c r="K984" s="142"/>
    </row>
    <row r="985" spans="3:13">
      <c r="C985" s="20">
        <v>980</v>
      </c>
      <c r="D985" s="372" t="s">
        <v>3111</v>
      </c>
      <c r="E985" s="383" t="s">
        <v>3112</v>
      </c>
      <c r="F985" s="53" t="s">
        <v>3113</v>
      </c>
      <c r="K985" s="142"/>
    </row>
    <row r="986" spans="3:13">
      <c r="C986" s="20">
        <v>981</v>
      </c>
      <c r="D986" s="372" t="s">
        <v>3114</v>
      </c>
      <c r="E986" s="383" t="s">
        <v>3115</v>
      </c>
      <c r="F986" s="372" t="s">
        <v>3116</v>
      </c>
      <c r="K986" s="142"/>
    </row>
    <row r="987" spans="3:13">
      <c r="C987" s="20">
        <v>982</v>
      </c>
      <c r="D987" s="372" t="s">
        <v>3111</v>
      </c>
      <c r="E987" s="383" t="s">
        <v>3112</v>
      </c>
      <c r="F987" s="53" t="s">
        <v>3113</v>
      </c>
      <c r="K987" s="142"/>
    </row>
    <row r="988" spans="3:13">
      <c r="C988" s="20">
        <v>983</v>
      </c>
      <c r="D988" s="372" t="s">
        <v>3114</v>
      </c>
      <c r="E988" s="383" t="s">
        <v>3115</v>
      </c>
      <c r="F988" s="372" t="s">
        <v>3116</v>
      </c>
      <c r="K988" s="142"/>
    </row>
    <row r="989" spans="3:13">
      <c r="C989" s="20">
        <v>984</v>
      </c>
      <c r="D989" s="53"/>
      <c r="E989" s="383"/>
      <c r="F989" s="53"/>
      <c r="K989" s="142"/>
    </row>
    <row r="990" spans="3:13" ht="25.5">
      <c r="C990" s="20">
        <v>985</v>
      </c>
      <c r="D990" s="372" t="s">
        <v>3117</v>
      </c>
      <c r="E990" s="383" t="s">
        <v>3118</v>
      </c>
      <c r="F990" s="372" t="s">
        <v>3119</v>
      </c>
      <c r="K990" s="142"/>
    </row>
    <row r="991" spans="3:13" ht="25.5">
      <c r="C991" s="20">
        <v>986</v>
      </c>
      <c r="D991" s="372" t="s">
        <v>3120</v>
      </c>
      <c r="E991" s="383" t="s">
        <v>3121</v>
      </c>
      <c r="F991" s="372" t="s">
        <v>3122</v>
      </c>
      <c r="K991" s="142"/>
    </row>
    <row r="992" spans="3:13" ht="25.5">
      <c r="C992" s="20">
        <v>987</v>
      </c>
      <c r="D992" s="372" t="s">
        <v>3123</v>
      </c>
      <c r="E992" s="383" t="s">
        <v>3124</v>
      </c>
      <c r="F992" s="372" t="s">
        <v>3125</v>
      </c>
      <c r="K992" s="142"/>
    </row>
    <row r="993" spans="3:11" ht="25.5">
      <c r="C993" s="20">
        <v>988</v>
      </c>
      <c r="D993" s="372" t="s">
        <v>3126</v>
      </c>
      <c r="E993" s="383" t="s">
        <v>3127</v>
      </c>
      <c r="F993" s="372" t="s">
        <v>3128</v>
      </c>
      <c r="K993" s="142"/>
    </row>
    <row r="994" spans="3:11" ht="25.5">
      <c r="C994" s="20">
        <v>989</v>
      </c>
      <c r="D994" s="372" t="s">
        <v>3129</v>
      </c>
      <c r="E994" s="383" t="s">
        <v>3130</v>
      </c>
      <c r="F994" s="372" t="s">
        <v>3131</v>
      </c>
      <c r="K994" s="142"/>
    </row>
    <row r="995" spans="3:11" ht="25.5">
      <c r="C995" s="20">
        <v>990</v>
      </c>
      <c r="D995" s="372" t="s">
        <v>3132</v>
      </c>
      <c r="E995" s="383" t="s">
        <v>3133</v>
      </c>
      <c r="F995" s="372" t="s">
        <v>3134</v>
      </c>
      <c r="K995" s="142"/>
    </row>
    <row r="996" spans="3:11" ht="25.5">
      <c r="C996" s="20">
        <v>991</v>
      </c>
      <c r="D996" s="372" t="s">
        <v>3135</v>
      </c>
      <c r="E996" s="383" t="s">
        <v>3136</v>
      </c>
      <c r="F996" s="372" t="s">
        <v>3137</v>
      </c>
      <c r="K996" s="142"/>
    </row>
    <row r="997" spans="3:11" ht="25.5">
      <c r="C997" s="20">
        <v>992</v>
      </c>
      <c r="D997" s="372" t="s">
        <v>3138</v>
      </c>
      <c r="E997" s="383" t="s">
        <v>3139</v>
      </c>
      <c r="F997" s="372" t="s">
        <v>3140</v>
      </c>
      <c r="K997" s="142"/>
    </row>
    <row r="998" spans="3:11">
      <c r="C998" s="20">
        <v>993</v>
      </c>
      <c r="D998" s="372"/>
      <c r="E998" s="383"/>
      <c r="F998" s="372"/>
      <c r="K998" s="142"/>
    </row>
    <row r="999" spans="3:11" ht="89.25">
      <c r="C999" s="20">
        <v>994</v>
      </c>
      <c r="D999" s="372" t="s">
        <v>3141</v>
      </c>
      <c r="E999" s="384" t="s">
        <v>3142</v>
      </c>
      <c r="F999" s="252" t="s">
        <v>3143</v>
      </c>
      <c r="K999" s="142"/>
    </row>
    <row r="1000" spans="3:11">
      <c r="C1000" s="20">
        <v>995</v>
      </c>
      <c r="D1000" s="64" t="s">
        <v>3144</v>
      </c>
      <c r="E1000" s="64" t="s">
        <v>3145</v>
      </c>
      <c r="F1000" s="383" t="s">
        <v>149</v>
      </c>
      <c r="K1000" s="142"/>
    </row>
    <row r="1001" spans="3:11" ht="51">
      <c r="C1001" s="20">
        <v>996</v>
      </c>
      <c r="D1001" s="372" t="s">
        <v>3146</v>
      </c>
      <c r="E1001" s="385" t="s">
        <v>3147</v>
      </c>
      <c r="F1001" s="248" t="s">
        <v>149</v>
      </c>
      <c r="K1001" s="142"/>
    </row>
    <row r="1002" spans="3:11" ht="25.5">
      <c r="C1002" s="20">
        <v>997</v>
      </c>
      <c r="D1002" s="372" t="s">
        <v>3148</v>
      </c>
      <c r="E1002" s="379" t="s">
        <v>3149</v>
      </c>
      <c r="F1002" s="383" t="s">
        <v>149</v>
      </c>
      <c r="K1002" s="142"/>
    </row>
    <row r="1003" spans="3:11">
      <c r="C1003" s="20">
        <v>998</v>
      </c>
      <c r="D1003" s="372"/>
      <c r="E1003" s="379"/>
      <c r="F1003" s="372"/>
      <c r="K1003" s="142"/>
    </row>
    <row r="1004" spans="3:11">
      <c r="C1004" s="20">
        <v>999</v>
      </c>
      <c r="D1004" s="53"/>
      <c r="E1004" s="7"/>
      <c r="F1004" s="53"/>
      <c r="K1004" s="142"/>
    </row>
    <row r="1005" spans="3:11">
      <c r="C1005" s="20">
        <v>1000</v>
      </c>
      <c r="D1005" s="372"/>
      <c r="E1005" s="379"/>
      <c r="F1005" s="372"/>
      <c r="K1005" s="142"/>
    </row>
    <row r="1006" spans="3:11">
      <c r="C1006" s="20">
        <v>1001</v>
      </c>
      <c r="D1006" s="53" t="s">
        <v>3150</v>
      </c>
      <c r="E1006" s="7" t="s">
        <v>3151</v>
      </c>
      <c r="F1006" s="53" t="s">
        <v>3152</v>
      </c>
      <c r="K1006" s="142"/>
    </row>
    <row r="1007" spans="3:11">
      <c r="C1007" s="20">
        <v>1002</v>
      </c>
      <c r="D1007" s="372"/>
      <c r="E1007" s="379"/>
      <c r="F1007" s="372"/>
      <c r="K1007" s="142"/>
    </row>
    <row r="1008" spans="3:11">
      <c r="C1008" s="20">
        <v>1003</v>
      </c>
      <c r="D1008" s="53" t="s">
        <v>3153</v>
      </c>
      <c r="E1008" s="7" t="s">
        <v>2387</v>
      </c>
      <c r="F1008" s="53" t="s">
        <v>3154</v>
      </c>
      <c r="K1008" s="142"/>
    </row>
    <row r="1009" spans="3:11">
      <c r="C1009" s="20">
        <v>1004</v>
      </c>
      <c r="D1009" s="372"/>
      <c r="E1009" s="379"/>
      <c r="F1009" s="372"/>
      <c r="K1009" s="142"/>
    </row>
    <row r="1010" spans="3:11">
      <c r="C1010" s="20">
        <v>1005</v>
      </c>
      <c r="D1010" s="53" t="s">
        <v>3155</v>
      </c>
      <c r="E1010" s="7" t="s">
        <v>3156</v>
      </c>
      <c r="F1010" s="53" t="s">
        <v>3157</v>
      </c>
      <c r="K1010" s="142"/>
    </row>
    <row r="1011" spans="3:11">
      <c r="C1011" s="20">
        <v>1006</v>
      </c>
      <c r="D1011" s="372"/>
      <c r="E1011" s="379"/>
      <c r="F1011" s="372"/>
      <c r="K1011" s="142"/>
    </row>
    <row r="1012" spans="3:11">
      <c r="C1012" s="20">
        <v>1007</v>
      </c>
      <c r="D1012" s="53"/>
      <c r="E1012" s="21"/>
      <c r="F1012" s="53"/>
      <c r="K1012" s="142"/>
    </row>
    <row r="1013" spans="3:11">
      <c r="C1013" s="20">
        <v>1008</v>
      </c>
      <c r="D1013" s="372"/>
      <c r="E1013" s="379"/>
      <c r="F1013" s="372"/>
      <c r="K1013" s="142"/>
    </row>
    <row r="1014" spans="3:11">
      <c r="C1014" s="20">
        <v>1009</v>
      </c>
      <c r="D1014" s="53"/>
      <c r="E1014" s="7"/>
      <c r="F1014" s="53"/>
      <c r="K1014" s="142"/>
    </row>
    <row r="1015" spans="3:11">
      <c r="C1015" s="20">
        <v>1010</v>
      </c>
      <c r="D1015" s="372"/>
      <c r="E1015" s="379"/>
      <c r="F1015" s="372"/>
      <c r="K1015" s="142"/>
    </row>
    <row r="1016" spans="3:11">
      <c r="C1016" s="20">
        <v>1011</v>
      </c>
      <c r="D1016" s="53"/>
      <c r="E1016" s="21"/>
      <c r="F1016" s="53"/>
      <c r="K1016" s="142"/>
    </row>
    <row r="1017" spans="3:11">
      <c r="C1017" s="20">
        <v>1012</v>
      </c>
      <c r="D1017" s="372"/>
      <c r="E1017" s="386"/>
      <c r="F1017" s="372"/>
      <c r="K1017" s="142"/>
    </row>
    <row r="1018" spans="3:11">
      <c r="C1018" s="20">
        <v>1013</v>
      </c>
      <c r="D1018" s="53"/>
      <c r="E1018" s="7"/>
      <c r="F1018" s="53"/>
      <c r="K1018" s="142"/>
    </row>
    <row r="1019" spans="3:11">
      <c r="C1019" s="20">
        <v>1014</v>
      </c>
      <c r="D1019" s="372"/>
      <c r="E1019" s="379"/>
      <c r="F1019" s="372"/>
      <c r="K1019" s="142"/>
    </row>
    <row r="1020" spans="3:11">
      <c r="C1020" s="20">
        <v>1015</v>
      </c>
      <c r="D1020" s="372"/>
      <c r="E1020" s="379"/>
      <c r="F1020" s="372"/>
      <c r="K1020" s="142"/>
    </row>
    <row r="1021" spans="3:11">
      <c r="C1021" s="20">
        <v>1016</v>
      </c>
      <c r="D1021" s="372"/>
      <c r="E1021" s="379"/>
      <c r="F1021" s="372"/>
      <c r="K1021" s="142"/>
    </row>
    <row r="1022" spans="3:11">
      <c r="C1022" s="20">
        <v>1017</v>
      </c>
      <c r="D1022" s="372"/>
      <c r="E1022" s="379"/>
      <c r="F1022" s="372"/>
      <c r="K1022" s="142"/>
    </row>
    <row r="1023" spans="3:11">
      <c r="C1023" s="20">
        <v>1018</v>
      </c>
      <c r="D1023" s="372"/>
      <c r="E1023" s="379"/>
      <c r="F1023" s="372"/>
      <c r="K1023" s="142"/>
    </row>
    <row r="1024" spans="3:11">
      <c r="C1024" s="20">
        <v>1019</v>
      </c>
      <c r="D1024" s="372"/>
      <c r="E1024" s="379"/>
      <c r="F1024" s="372"/>
      <c r="K1024" s="142"/>
    </row>
    <row r="1025" spans="3:11">
      <c r="C1025" s="20">
        <v>1020</v>
      </c>
      <c r="D1025" s="372"/>
      <c r="E1025" s="379"/>
      <c r="F1025" s="372"/>
      <c r="K1025" s="142"/>
    </row>
    <row r="1026" spans="3:11">
      <c r="C1026" s="20">
        <v>1021</v>
      </c>
      <c r="D1026" s="372"/>
      <c r="E1026" s="379"/>
      <c r="F1026" s="372"/>
      <c r="K1026" s="142"/>
    </row>
    <row r="1027" spans="3:11">
      <c r="C1027" s="20">
        <v>1022</v>
      </c>
      <c r="D1027" s="372"/>
      <c r="E1027" s="379"/>
      <c r="F1027" s="372"/>
      <c r="K1027" s="142"/>
    </row>
    <row r="1028" spans="3:11">
      <c r="C1028" s="20">
        <v>1023</v>
      </c>
      <c r="D1028" s="387"/>
      <c r="E1028" s="388"/>
      <c r="F1028" s="389"/>
      <c r="K1028" s="142"/>
    </row>
    <row r="1029" spans="3:11">
      <c r="C1029" s="20">
        <v>1024</v>
      </c>
      <c r="D1029" s="387"/>
      <c r="E1029" s="388"/>
      <c r="F1029" s="389"/>
      <c r="K1029" s="142"/>
    </row>
    <row r="1030" spans="3:11">
      <c r="C1030" s="20">
        <v>1025</v>
      </c>
      <c r="D1030" s="387"/>
      <c r="E1030" s="388"/>
      <c r="F1030" s="389"/>
      <c r="K1030" s="142"/>
    </row>
    <row r="1031" spans="3:11">
      <c r="C1031" s="20">
        <v>1026</v>
      </c>
      <c r="D1031" s="387"/>
      <c r="E1031" s="388"/>
      <c r="F1031" s="389"/>
      <c r="K1031" s="142"/>
    </row>
    <row r="1032" spans="3:11">
      <c r="C1032" s="20">
        <v>1027</v>
      </c>
      <c r="D1032" s="387"/>
      <c r="E1032" s="21"/>
      <c r="F1032" s="53"/>
      <c r="K1032" s="142"/>
    </row>
    <row r="1033" spans="3:11">
      <c r="C1033" s="20">
        <v>1028</v>
      </c>
      <c r="D1033" s="387"/>
      <c r="E1033" s="379"/>
      <c r="F1033" s="372"/>
      <c r="K1033" s="142"/>
    </row>
    <row r="1034" spans="3:11">
      <c r="C1034" s="20">
        <v>1029</v>
      </c>
      <c r="D1034" s="387"/>
      <c r="E1034" s="379"/>
      <c r="F1034" s="372"/>
      <c r="K1034" s="142"/>
    </row>
    <row r="1035" spans="3:11">
      <c r="C1035" s="20">
        <v>1030</v>
      </c>
      <c r="D1035" s="53"/>
      <c r="E1035" s="7"/>
      <c r="F1035" s="53"/>
      <c r="K1035" s="142"/>
    </row>
    <row r="1036" spans="3:11">
      <c r="C1036" s="20">
        <v>1031</v>
      </c>
      <c r="D1036" s="372"/>
      <c r="E1036" s="379"/>
      <c r="F1036" s="372"/>
      <c r="K1036" s="142"/>
    </row>
    <row r="1037" spans="3:11" ht="12.75" customHeight="1">
      <c r="C1037" s="20">
        <v>1032</v>
      </c>
      <c r="D1037" s="1"/>
      <c r="E1037" s="7"/>
      <c r="F1037" s="15"/>
      <c r="K1037" s="142"/>
    </row>
    <row r="1038" spans="3:11">
      <c r="C1038" s="20">
        <v>1033</v>
      </c>
      <c r="D1038" s="372"/>
      <c r="E1038" s="379"/>
      <c r="F1038" s="372"/>
      <c r="K1038" s="142"/>
    </row>
    <row r="1039" spans="3:11">
      <c r="C1039" s="20">
        <v>1034</v>
      </c>
      <c r="D1039" s="53"/>
      <c r="E1039" s="7"/>
      <c r="F1039" s="53"/>
      <c r="K1039" s="142"/>
    </row>
    <row r="1040" spans="3:11">
      <c r="C1040" s="20">
        <v>1035</v>
      </c>
      <c r="D1040" s="372"/>
      <c r="E1040" s="379"/>
      <c r="F1040" s="372"/>
      <c r="K1040" s="142"/>
    </row>
    <row r="1041" spans="3:11">
      <c r="C1041" s="20">
        <v>1036</v>
      </c>
      <c r="D1041" s="372"/>
      <c r="E1041" s="7"/>
      <c r="F1041" s="53"/>
      <c r="K1041" s="142"/>
    </row>
    <row r="1042" spans="3:11">
      <c r="C1042" s="20">
        <v>1037</v>
      </c>
      <c r="D1042" s="372"/>
      <c r="E1042" s="379"/>
      <c r="F1042" s="372"/>
      <c r="K1042" s="142"/>
    </row>
    <row r="1043" spans="3:11">
      <c r="C1043" s="20">
        <v>1038</v>
      </c>
      <c r="D1043" s="372"/>
      <c r="E1043" s="7"/>
      <c r="F1043" s="53"/>
      <c r="K1043" s="142"/>
    </row>
    <row r="1044" spans="3:11">
      <c r="C1044" s="20">
        <v>1039</v>
      </c>
      <c r="D1044" s="372"/>
      <c r="E1044" s="379"/>
      <c r="F1044" s="372"/>
      <c r="K1044" s="142"/>
    </row>
    <row r="1045" spans="3:11">
      <c r="C1045" s="20">
        <v>1040</v>
      </c>
      <c r="D1045" s="372"/>
      <c r="E1045" s="1"/>
      <c r="F1045" s="53"/>
      <c r="K1045" s="142"/>
    </row>
    <row r="1046" spans="3:11">
      <c r="C1046" s="20">
        <v>1041</v>
      </c>
      <c r="D1046" s="372"/>
      <c r="E1046" s="386"/>
      <c r="F1046" s="372"/>
      <c r="K1046" s="142"/>
    </row>
    <row r="1047" spans="3:11">
      <c r="C1047" s="20">
        <v>1042</v>
      </c>
      <c r="D1047" s="53"/>
      <c r="E1047" s="21"/>
      <c r="F1047" s="53"/>
      <c r="K1047" s="142"/>
    </row>
    <row r="1048" spans="3:11">
      <c r="C1048" s="20">
        <v>1043</v>
      </c>
      <c r="D1048" s="372"/>
      <c r="E1048" s="379"/>
      <c r="F1048" s="372"/>
      <c r="K1048" s="142"/>
    </row>
    <row r="1049" spans="3:11">
      <c r="C1049" s="20">
        <v>1044</v>
      </c>
      <c r="D1049" s="53"/>
      <c r="E1049" s="21"/>
      <c r="F1049" s="249"/>
      <c r="K1049" s="142"/>
    </row>
    <row r="1050" spans="3:11">
      <c r="C1050" s="20">
        <v>1045</v>
      </c>
      <c r="D1050" s="372"/>
      <c r="E1050" s="379"/>
      <c r="F1050" s="372"/>
      <c r="K1050" s="142"/>
    </row>
    <row r="1051" spans="3:11">
      <c r="C1051" s="20">
        <v>1046</v>
      </c>
      <c r="D1051" s="53"/>
      <c r="E1051" s="7"/>
      <c r="F1051" s="53"/>
      <c r="K1051" s="142"/>
    </row>
    <row r="1052" spans="3:11">
      <c r="C1052" s="20">
        <v>1047</v>
      </c>
      <c r="D1052" s="372"/>
      <c r="E1052" s="379"/>
      <c r="F1052" s="372"/>
      <c r="K1052" s="142"/>
    </row>
    <row r="1053" spans="3:11">
      <c r="C1053" s="20">
        <v>1048</v>
      </c>
      <c r="D1053" s="53"/>
      <c r="E1053" s="21"/>
      <c r="F1053" s="53"/>
      <c r="K1053" s="142"/>
    </row>
    <row r="1054" spans="3:11">
      <c r="C1054" s="20">
        <v>1049</v>
      </c>
      <c r="D1054" s="372"/>
      <c r="E1054" s="379"/>
      <c r="F1054" s="372"/>
      <c r="K1054" s="142"/>
    </row>
    <row r="1055" spans="3:11">
      <c r="C1055" s="20">
        <v>1050</v>
      </c>
      <c r="D1055" s="53"/>
      <c r="E1055" s="7"/>
      <c r="F1055" s="53"/>
      <c r="K1055" s="142"/>
    </row>
    <row r="1056" spans="3:11">
      <c r="C1056" s="20">
        <v>1051</v>
      </c>
      <c r="D1056" s="372"/>
      <c r="E1056" s="379"/>
      <c r="F1056" s="372"/>
      <c r="K1056" s="142"/>
    </row>
    <row r="1057" spans="3:11">
      <c r="C1057" s="20">
        <v>1052</v>
      </c>
      <c r="D1057" s="53"/>
      <c r="E1057" s="7"/>
      <c r="F1057" s="53"/>
      <c r="K1057" s="142"/>
    </row>
    <row r="1058" spans="3:11">
      <c r="C1058" s="20">
        <v>1053</v>
      </c>
      <c r="D1058" s="372"/>
      <c r="E1058" s="379"/>
      <c r="F1058" s="372"/>
      <c r="K1058" s="142"/>
    </row>
    <row r="1059" spans="3:11">
      <c r="C1059" s="20">
        <v>1054</v>
      </c>
      <c r="D1059" s="53"/>
      <c r="E1059" s="7"/>
      <c r="F1059" s="53"/>
      <c r="K1059" s="142"/>
    </row>
    <row r="1060" spans="3:11">
      <c r="C1060" s="20">
        <v>1055</v>
      </c>
      <c r="D1060" s="372"/>
      <c r="E1060" s="379"/>
      <c r="F1060" s="372"/>
      <c r="K1060" s="142"/>
    </row>
    <row r="1061" spans="3:11">
      <c r="C1061" s="20">
        <v>1056</v>
      </c>
      <c r="D1061" s="53"/>
      <c r="E1061" s="21"/>
      <c r="F1061" s="53"/>
      <c r="K1061" s="142"/>
    </row>
    <row r="1062" spans="3:11">
      <c r="C1062" s="20">
        <v>1057</v>
      </c>
      <c r="D1062" s="372"/>
      <c r="E1062" s="379"/>
      <c r="F1062" s="372"/>
      <c r="K1062" s="142"/>
    </row>
    <row r="1063" spans="3:11">
      <c r="C1063" s="20">
        <v>1058</v>
      </c>
      <c r="D1063" s="53"/>
      <c r="E1063" s="7"/>
      <c r="F1063" s="53"/>
      <c r="K1063" s="142"/>
    </row>
    <row r="1064" spans="3:11">
      <c r="C1064" s="20">
        <v>1059</v>
      </c>
      <c r="D1064" s="372"/>
      <c r="E1064" s="379"/>
      <c r="F1064" s="372"/>
      <c r="K1064" s="142"/>
    </row>
    <row r="1065" spans="3:11">
      <c r="C1065" s="20">
        <v>1060</v>
      </c>
      <c r="D1065" s="53"/>
      <c r="E1065" s="7"/>
      <c r="F1065" s="53"/>
      <c r="K1065" s="142"/>
    </row>
    <row r="1066" spans="3:11">
      <c r="C1066" s="20">
        <v>1061</v>
      </c>
      <c r="D1066" s="372"/>
      <c r="E1066" s="379"/>
      <c r="F1066" s="372"/>
      <c r="K1066" s="142"/>
    </row>
    <row r="1067" spans="3:11">
      <c r="C1067" s="20">
        <v>1062</v>
      </c>
      <c r="D1067" s="53"/>
      <c r="E1067" s="7"/>
      <c r="F1067" s="53"/>
      <c r="K1067" s="142"/>
    </row>
    <row r="1068" spans="3:11">
      <c r="C1068" s="20">
        <v>1063</v>
      </c>
      <c r="D1068" s="372"/>
      <c r="E1068" s="379"/>
      <c r="F1068" s="372"/>
      <c r="K1068" s="142"/>
    </row>
    <row r="1069" spans="3:11">
      <c r="C1069" s="20">
        <v>1064</v>
      </c>
      <c r="D1069" s="372"/>
      <c r="E1069" s="379"/>
      <c r="F1069" s="372"/>
      <c r="K1069" s="142"/>
    </row>
    <row r="1070" spans="3:11">
      <c r="C1070" s="20">
        <v>1065</v>
      </c>
      <c r="D1070" s="372"/>
      <c r="E1070" s="379"/>
      <c r="F1070" s="372"/>
      <c r="K1070" s="142"/>
    </row>
    <row r="1071" spans="3:11">
      <c r="C1071" s="20">
        <v>1066</v>
      </c>
      <c r="D1071" s="53"/>
      <c r="E1071" s="7"/>
      <c r="F1071" s="53"/>
      <c r="K1071" s="142"/>
    </row>
    <row r="1072" spans="3:11">
      <c r="C1072" s="20">
        <v>1067</v>
      </c>
      <c r="D1072" s="372"/>
      <c r="E1072" s="379"/>
      <c r="F1072" s="372"/>
      <c r="K1072" s="142"/>
    </row>
    <row r="1073" spans="3:11">
      <c r="C1073" s="20">
        <v>1068</v>
      </c>
      <c r="D1073" s="53"/>
      <c r="E1073" s="7"/>
      <c r="F1073" s="53"/>
      <c r="K1073" s="142"/>
    </row>
    <row r="1074" spans="3:11">
      <c r="C1074" s="20">
        <v>1069</v>
      </c>
      <c r="D1074" s="372"/>
      <c r="E1074" s="379"/>
      <c r="F1074" s="372"/>
      <c r="K1074" s="142"/>
    </row>
    <row r="1075" spans="3:11">
      <c r="C1075" s="20">
        <v>1070</v>
      </c>
      <c r="D1075" s="372"/>
      <c r="E1075" s="7"/>
      <c r="F1075" s="53"/>
      <c r="K1075" s="142"/>
    </row>
    <row r="1076" spans="3:11">
      <c r="C1076" s="20">
        <v>1071</v>
      </c>
      <c r="D1076" s="372"/>
      <c r="E1076" s="379"/>
      <c r="F1076" s="372"/>
      <c r="K1076" s="142"/>
    </row>
    <row r="1077" spans="3:11">
      <c r="C1077" s="20">
        <v>1072</v>
      </c>
      <c r="D1077" s="372"/>
      <c r="E1077" s="7"/>
      <c r="F1077" s="53"/>
      <c r="K1077" s="142"/>
    </row>
    <row r="1078" spans="3:11">
      <c r="C1078" s="20">
        <v>1073</v>
      </c>
      <c r="D1078" s="372"/>
      <c r="E1078" s="379"/>
      <c r="F1078" s="372"/>
      <c r="K1078" s="142"/>
    </row>
    <row r="1079" spans="3:11">
      <c r="C1079" s="20">
        <v>1074</v>
      </c>
      <c r="D1079" s="53"/>
      <c r="E1079" s="7"/>
      <c r="F1079" s="53"/>
      <c r="K1079" s="142"/>
    </row>
    <row r="1080" spans="3:11">
      <c r="C1080" s="20">
        <v>1075</v>
      </c>
      <c r="D1080" s="372"/>
      <c r="E1080" s="379"/>
      <c r="F1080" s="372"/>
      <c r="K1080" s="142"/>
    </row>
    <row r="1081" spans="3:11">
      <c r="C1081" s="20">
        <v>1076</v>
      </c>
      <c r="D1081" s="53"/>
      <c r="E1081" s="7"/>
      <c r="F1081" s="53"/>
      <c r="K1081" s="142"/>
    </row>
    <row r="1082" spans="3:11">
      <c r="C1082" s="20">
        <v>1077</v>
      </c>
      <c r="D1082" s="372"/>
      <c r="E1082" s="379"/>
      <c r="F1082" s="372"/>
      <c r="K1082" s="142"/>
    </row>
    <row r="1083" spans="3:11">
      <c r="C1083" s="20">
        <v>1078</v>
      </c>
      <c r="D1083" s="53"/>
      <c r="E1083" s="7"/>
      <c r="F1083" s="53"/>
      <c r="K1083" s="142"/>
    </row>
    <row r="1084" spans="3:11">
      <c r="C1084" s="20">
        <v>1079</v>
      </c>
      <c r="D1084" s="372"/>
      <c r="E1084" s="379"/>
      <c r="F1084" s="372"/>
      <c r="K1084" s="142"/>
    </row>
    <row r="1085" spans="3:11">
      <c r="C1085" s="20">
        <v>1080</v>
      </c>
      <c r="D1085" s="53" t="s">
        <v>3158</v>
      </c>
      <c r="E1085" s="7" t="s">
        <v>3159</v>
      </c>
      <c r="F1085" s="53" t="s">
        <v>3160</v>
      </c>
      <c r="K1085" s="142"/>
    </row>
    <row r="1086" spans="3:11">
      <c r="C1086" s="20">
        <v>1081</v>
      </c>
      <c r="D1086" s="372"/>
      <c r="E1086" s="379"/>
      <c r="F1086" s="372"/>
      <c r="K1086" s="142"/>
    </row>
    <row r="1087" spans="3:11">
      <c r="C1087" s="20">
        <v>1082</v>
      </c>
      <c r="D1087" s="53"/>
      <c r="E1087" s="7"/>
      <c r="F1087" s="53"/>
      <c r="K1087" s="142"/>
    </row>
    <row r="1088" spans="3:11">
      <c r="C1088" s="20">
        <v>1083</v>
      </c>
      <c r="D1088" s="372"/>
      <c r="E1088" s="379"/>
      <c r="F1088" s="372"/>
      <c r="K1088" s="142"/>
    </row>
    <row r="1089" spans="3:11">
      <c r="C1089" s="20">
        <v>1084</v>
      </c>
      <c r="D1089" s="53"/>
      <c r="E1089" s="7"/>
      <c r="F1089" s="53"/>
      <c r="K1089" s="142"/>
    </row>
    <row r="1090" spans="3:11">
      <c r="C1090" s="20">
        <v>1085</v>
      </c>
      <c r="D1090" s="372"/>
      <c r="E1090" s="379"/>
      <c r="F1090" s="372"/>
      <c r="K1090" s="142"/>
    </row>
    <row r="1091" spans="3:11">
      <c r="C1091" s="20">
        <v>1086</v>
      </c>
      <c r="D1091" s="53"/>
      <c r="E1091" s="7"/>
      <c r="F1091" s="53"/>
      <c r="K1091" s="142"/>
    </row>
    <row r="1092" spans="3:11">
      <c r="C1092" s="20">
        <v>1087</v>
      </c>
      <c r="D1092" s="372"/>
      <c r="E1092" s="379"/>
      <c r="F1092" s="372"/>
      <c r="K1092" s="142"/>
    </row>
    <row r="1093" spans="3:11">
      <c r="C1093" s="20">
        <v>1088</v>
      </c>
      <c r="D1093" s="53"/>
      <c r="E1093" s="7"/>
      <c r="F1093" s="53"/>
      <c r="K1093" s="142"/>
    </row>
    <row r="1094" spans="3:11">
      <c r="C1094" s="20">
        <v>1089</v>
      </c>
      <c r="D1094" s="372"/>
      <c r="E1094" s="379"/>
      <c r="F1094" s="372"/>
      <c r="K1094" s="142"/>
    </row>
    <row r="1095" spans="3:11">
      <c r="C1095" s="20">
        <v>1090</v>
      </c>
      <c r="D1095" s="53"/>
      <c r="E1095" s="7"/>
      <c r="F1095" s="53"/>
      <c r="K1095" s="142"/>
    </row>
    <row r="1096" spans="3:11">
      <c r="C1096" s="20">
        <v>1091</v>
      </c>
      <c r="D1096" s="372"/>
      <c r="E1096" s="379"/>
      <c r="F1096" s="372"/>
      <c r="K1096" s="142"/>
    </row>
    <row r="1097" spans="3:11">
      <c r="C1097" s="20">
        <v>1092</v>
      </c>
      <c r="D1097" s="53"/>
      <c r="E1097" s="7"/>
      <c r="F1097" s="53"/>
      <c r="K1097" s="142"/>
    </row>
    <row r="1098" spans="3:11">
      <c r="C1098" s="20">
        <v>1093</v>
      </c>
      <c r="D1098" s="372"/>
      <c r="E1098" s="379"/>
      <c r="F1098" s="372"/>
      <c r="K1098" s="142"/>
    </row>
    <row r="1099" spans="3:11">
      <c r="C1099" s="20">
        <v>1094</v>
      </c>
      <c r="D1099" s="53"/>
      <c r="E1099" s="1"/>
      <c r="F1099" s="53"/>
      <c r="K1099" s="142"/>
    </row>
    <row r="1100" spans="3:11">
      <c r="C1100" s="20">
        <v>1095</v>
      </c>
      <c r="D1100" s="372"/>
      <c r="E1100" s="379"/>
      <c r="F1100" s="372"/>
      <c r="K1100" s="142"/>
    </row>
    <row r="1101" spans="3:11">
      <c r="C1101" s="20">
        <v>1096</v>
      </c>
      <c r="D1101" s="53"/>
      <c r="E1101" s="7"/>
      <c r="F1101" s="53"/>
      <c r="K1101" s="142"/>
    </row>
    <row r="1102" spans="3:11">
      <c r="C1102" s="20">
        <v>1097</v>
      </c>
      <c r="D1102" s="372"/>
      <c r="E1102" s="379"/>
      <c r="F1102" s="372"/>
      <c r="K1102" s="142"/>
    </row>
    <row r="1103" spans="3:11" ht="12.75" customHeight="1">
      <c r="C1103" s="20">
        <v>1098</v>
      </c>
      <c r="D1103" s="53"/>
      <c r="E1103" s="7"/>
      <c r="F1103" s="53"/>
      <c r="K1103" s="142"/>
    </row>
    <row r="1104" spans="3:11" ht="87" customHeight="1">
      <c r="C1104" s="20">
        <v>1099</v>
      </c>
      <c r="D1104" s="372"/>
      <c r="E1104" s="379"/>
      <c r="F1104" s="372"/>
      <c r="K1104" s="142"/>
    </row>
    <row r="1105" spans="3:11">
      <c r="C1105" s="20">
        <v>1100</v>
      </c>
      <c r="D1105" s="53"/>
      <c r="E1105" s="7"/>
      <c r="F1105" s="53"/>
      <c r="K1105" s="142"/>
    </row>
    <row r="1106" spans="3:11">
      <c r="C1106" s="20">
        <v>1101</v>
      </c>
      <c r="D1106" s="372"/>
      <c r="E1106" s="379"/>
      <c r="F1106" s="372"/>
      <c r="K1106" s="142"/>
    </row>
    <row r="1107" spans="3:11">
      <c r="C1107" s="20">
        <v>1102</v>
      </c>
      <c r="D1107" s="53"/>
      <c r="E1107" s="7"/>
      <c r="F1107" s="53"/>
      <c r="K1107" s="142"/>
    </row>
    <row r="1108" spans="3:11">
      <c r="C1108" s="20">
        <v>1103</v>
      </c>
      <c r="D1108" s="372"/>
      <c r="E1108" s="379"/>
      <c r="F1108" s="372"/>
      <c r="K1108" s="142"/>
    </row>
    <row r="1109" spans="3:11">
      <c r="C1109" s="20">
        <v>1104</v>
      </c>
      <c r="D1109" s="53" t="s">
        <v>3161</v>
      </c>
      <c r="E1109" s="53" t="s">
        <v>3162</v>
      </c>
      <c r="F1109" s="53" t="s">
        <v>3163</v>
      </c>
      <c r="K1109" s="142"/>
    </row>
    <row r="1110" spans="3:11" ht="114.75">
      <c r="C1110" s="20">
        <v>1105</v>
      </c>
      <c r="D1110" s="383" t="s">
        <v>3164</v>
      </c>
      <c r="E1110" s="383" t="s">
        <v>3165</v>
      </c>
      <c r="F1110" s="383" t="s">
        <v>3166</v>
      </c>
      <c r="K1110" s="142"/>
    </row>
    <row r="1111" spans="3:11">
      <c r="C1111" s="20">
        <v>1106</v>
      </c>
      <c r="D1111" s="53" t="s">
        <v>3167</v>
      </c>
      <c r="E1111" s="7" t="s">
        <v>3168</v>
      </c>
      <c r="F1111" s="53" t="s">
        <v>3169</v>
      </c>
      <c r="K1111" s="142"/>
    </row>
    <row r="1112" spans="3:11" ht="178.5">
      <c r="C1112" s="20">
        <v>1107</v>
      </c>
      <c r="D1112" s="383" t="s">
        <v>3170</v>
      </c>
      <c r="E1112" s="333" t="s">
        <v>3171</v>
      </c>
      <c r="F1112" s="390" t="s">
        <v>3172</v>
      </c>
      <c r="K1112" s="142"/>
    </row>
    <row r="1113" spans="3:11" ht="13.5" thickBot="1">
      <c r="C1113" s="20">
        <v>1108</v>
      </c>
      <c r="D1113" s="391"/>
      <c r="E1113" s="55"/>
      <c r="F1113" s="391"/>
      <c r="H1113" s="173"/>
      <c r="I1113" s="173"/>
      <c r="J1113" s="173"/>
      <c r="K1113" s="174"/>
    </row>
    <row r="1114" spans="3:11" ht="13.5" thickBot="1">
      <c r="C1114" s="20">
        <v>1109</v>
      </c>
      <c r="D1114" s="55"/>
      <c r="E1114" s="55"/>
      <c r="F1114" s="55"/>
      <c r="K1114" s="142"/>
    </row>
    <row r="1115" spans="3:11" ht="12.75" customHeight="1">
      <c r="C1115" s="20">
        <v>1110</v>
      </c>
      <c r="D1115" s="54" t="s">
        <v>1180</v>
      </c>
      <c r="E1115" s="3" t="s">
        <v>3173</v>
      </c>
      <c r="F1115" s="244" t="s">
        <v>3174</v>
      </c>
      <c r="K1115" s="142"/>
    </row>
    <row r="1116" spans="3:11" ht="12.75" customHeight="1">
      <c r="C1116" s="20">
        <v>1111</v>
      </c>
      <c r="D1116" s="175" t="s">
        <v>313</v>
      </c>
      <c r="E1116" s="184" t="s">
        <v>3175</v>
      </c>
      <c r="F1116" s="245" t="s">
        <v>313</v>
      </c>
      <c r="K1116" s="142"/>
    </row>
    <row r="1117" spans="3:11" ht="12.75" customHeight="1">
      <c r="C1117" s="20">
        <v>1112</v>
      </c>
      <c r="D1117" s="175" t="s">
        <v>44</v>
      </c>
      <c r="E1117" s="184" t="s">
        <v>3176</v>
      </c>
      <c r="F1117" s="245" t="s">
        <v>44</v>
      </c>
      <c r="K1117" s="142"/>
    </row>
    <row r="1118" spans="3:11" ht="12.75" customHeight="1">
      <c r="C1118" s="20">
        <v>1113</v>
      </c>
      <c r="D1118" s="175" t="s">
        <v>581</v>
      </c>
      <c r="E1118" s="184" t="s">
        <v>3177</v>
      </c>
      <c r="F1118" s="245" t="s">
        <v>3178</v>
      </c>
      <c r="K1118" s="142"/>
    </row>
    <row r="1119" spans="3:11" ht="12.75" customHeight="1">
      <c r="C1119" s="20">
        <v>1114</v>
      </c>
      <c r="D1119" s="175" t="s">
        <v>317</v>
      </c>
      <c r="E1119" s="184" t="s">
        <v>3179</v>
      </c>
      <c r="F1119" s="245" t="s">
        <v>3180</v>
      </c>
      <c r="K1119" s="142"/>
    </row>
    <row r="1120" spans="3:11" ht="12.75" customHeight="1">
      <c r="C1120" s="20">
        <v>1115</v>
      </c>
      <c r="D1120" s="175" t="s">
        <v>591</v>
      </c>
      <c r="E1120" s="184" t="s">
        <v>3181</v>
      </c>
      <c r="F1120" s="245" t="s">
        <v>3182</v>
      </c>
      <c r="K1120" s="142"/>
    </row>
    <row r="1121" spans="3:11" ht="12.75" customHeight="1">
      <c r="C1121" s="20">
        <v>1116</v>
      </c>
      <c r="D1121" s="175" t="s">
        <v>597</v>
      </c>
      <c r="E1121" s="184" t="s">
        <v>3183</v>
      </c>
      <c r="F1121" s="245" t="s">
        <v>3184</v>
      </c>
      <c r="K1121" s="142"/>
    </row>
    <row r="1122" spans="3:11" ht="12.75" customHeight="1">
      <c r="C1122" s="20">
        <v>1117</v>
      </c>
      <c r="D1122" s="175" t="s">
        <v>599</v>
      </c>
      <c r="E1122" s="184" t="s">
        <v>3185</v>
      </c>
      <c r="F1122" s="245" t="s">
        <v>3186</v>
      </c>
      <c r="K1122" s="142"/>
    </row>
    <row r="1123" spans="3:11" ht="12.75" customHeight="1">
      <c r="C1123" s="20">
        <v>1118</v>
      </c>
      <c r="D1123" s="175" t="s">
        <v>601</v>
      </c>
      <c r="E1123" s="184" t="s">
        <v>3187</v>
      </c>
      <c r="F1123" s="245" t="s">
        <v>3188</v>
      </c>
      <c r="K1123" s="142"/>
    </row>
    <row r="1124" spans="3:11" ht="12.75" customHeight="1">
      <c r="C1124" s="20">
        <v>1119</v>
      </c>
      <c r="D1124" s="175" t="s">
        <v>605</v>
      </c>
      <c r="E1124" s="184" t="s">
        <v>3189</v>
      </c>
      <c r="F1124" s="245" t="s">
        <v>3190</v>
      </c>
      <c r="K1124" s="142"/>
    </row>
    <row r="1125" spans="3:11" ht="12.75" customHeight="1">
      <c r="C1125" s="20">
        <v>1120</v>
      </c>
      <c r="D1125" s="175" t="s">
        <v>607</v>
      </c>
      <c r="E1125" s="184" t="s">
        <v>3191</v>
      </c>
      <c r="F1125" s="245" t="s">
        <v>3192</v>
      </c>
      <c r="K1125" s="142"/>
    </row>
    <row r="1126" spans="3:11" ht="12.75" customHeight="1">
      <c r="C1126" s="20">
        <v>1121</v>
      </c>
      <c r="D1126" s="175" t="s">
        <v>609</v>
      </c>
      <c r="E1126" s="184" t="s">
        <v>3193</v>
      </c>
      <c r="F1126" s="245" t="s">
        <v>3194</v>
      </c>
      <c r="K1126" s="142"/>
    </row>
    <row r="1127" spans="3:11" ht="12.75" customHeight="1">
      <c r="C1127" s="20">
        <v>1122</v>
      </c>
      <c r="D1127" s="175" t="s">
        <v>319</v>
      </c>
      <c r="E1127" s="184" t="s">
        <v>319</v>
      </c>
      <c r="F1127" s="245" t="s">
        <v>3195</v>
      </c>
      <c r="K1127" s="142"/>
    </row>
    <row r="1128" spans="3:11" ht="12.75" customHeight="1">
      <c r="C1128" s="20">
        <v>1123</v>
      </c>
      <c r="D1128" s="175" t="s">
        <v>603</v>
      </c>
      <c r="E1128" s="184" t="s">
        <v>3196</v>
      </c>
      <c r="F1128" s="245" t="s">
        <v>3197</v>
      </c>
      <c r="K1128" s="142"/>
    </row>
    <row r="1129" spans="3:11" ht="12.75" customHeight="1">
      <c r="C1129" s="20">
        <v>1124</v>
      </c>
      <c r="D1129" s="175" t="s">
        <v>638</v>
      </c>
      <c r="E1129" s="184" t="s">
        <v>3198</v>
      </c>
      <c r="F1129" s="245" t="s">
        <v>3199</v>
      </c>
      <c r="K1129" s="142"/>
    </row>
    <row r="1130" spans="3:11" ht="12.75" customHeight="1">
      <c r="C1130" s="20">
        <v>1125</v>
      </c>
      <c r="D1130" s="175" t="s">
        <v>619</v>
      </c>
      <c r="E1130" s="184" t="s">
        <v>3200</v>
      </c>
      <c r="F1130" s="245" t="s">
        <v>3201</v>
      </c>
      <c r="K1130" s="142"/>
    </row>
    <row r="1131" spans="3:11" ht="12.75" customHeight="1">
      <c r="C1131" s="20">
        <v>1126</v>
      </c>
      <c r="D1131" s="175" t="s">
        <v>621</v>
      </c>
      <c r="E1131" s="184" t="s">
        <v>621</v>
      </c>
      <c r="F1131" s="245" t="s">
        <v>621</v>
      </c>
      <c r="K1131" s="142"/>
    </row>
    <row r="1132" spans="3:11" ht="12.75" customHeight="1">
      <c r="C1132" s="20">
        <v>1127</v>
      </c>
      <c r="D1132" s="299" t="s">
        <v>595</v>
      </c>
      <c r="E1132" s="392" t="s">
        <v>3202</v>
      </c>
      <c r="F1132" s="299" t="s">
        <v>3203</v>
      </c>
      <c r="K1132" s="142"/>
    </row>
    <row r="1133" spans="3:11" ht="12.75" customHeight="1">
      <c r="C1133" s="20">
        <v>1128</v>
      </c>
      <c r="D1133" s="175" t="s">
        <v>629</v>
      </c>
      <c r="E1133" s="184" t="s">
        <v>3204</v>
      </c>
      <c r="F1133" s="245" t="s">
        <v>3205</v>
      </c>
      <c r="K1133" s="142"/>
    </row>
    <row r="1134" spans="3:11" ht="12.75" customHeight="1">
      <c r="C1134" s="20">
        <v>1129</v>
      </c>
      <c r="D1134" s="175" t="s">
        <v>631</v>
      </c>
      <c r="E1134" s="184" t="s">
        <v>3206</v>
      </c>
      <c r="F1134" s="245" t="s">
        <v>3207</v>
      </c>
      <c r="K1134" s="142"/>
    </row>
    <row r="1135" spans="3:11" ht="12.75" customHeight="1">
      <c r="C1135" s="20">
        <v>1130</v>
      </c>
      <c r="D1135" s="175" t="s">
        <v>311</v>
      </c>
      <c r="E1135" s="184" t="s">
        <v>3208</v>
      </c>
      <c r="F1135" s="245" t="s">
        <v>3209</v>
      </c>
      <c r="K1135" s="142"/>
    </row>
    <row r="1136" spans="3:11" ht="12.75" customHeight="1">
      <c r="C1136" s="20">
        <v>1131</v>
      </c>
      <c r="D1136" s="175" t="s">
        <v>1509</v>
      </c>
      <c r="E1136" s="184" t="s">
        <v>3210</v>
      </c>
      <c r="F1136" s="245" t="s">
        <v>3211</v>
      </c>
      <c r="K1136" s="142"/>
    </row>
    <row r="1137" spans="3:11" ht="12.75" customHeight="1">
      <c r="C1137" s="20">
        <v>1132</v>
      </c>
      <c r="D1137" s="299" t="s">
        <v>634</v>
      </c>
      <c r="E1137" s="324" t="s">
        <v>3212</v>
      </c>
      <c r="F1137" s="393" t="s">
        <v>3213</v>
      </c>
      <c r="K1137" s="142"/>
    </row>
    <row r="1138" spans="3:11" ht="12.75" customHeight="1">
      <c r="C1138" s="20">
        <v>1133</v>
      </c>
      <c r="D1138" s="299" t="s">
        <v>116</v>
      </c>
      <c r="E1138" s="324" t="s">
        <v>3214</v>
      </c>
      <c r="F1138" s="393" t="s">
        <v>2292</v>
      </c>
      <c r="K1138" s="142"/>
    </row>
    <row r="1139" spans="3:11" ht="12.75" customHeight="1">
      <c r="C1139" s="20">
        <v>1134</v>
      </c>
      <c r="D1139" s="276" t="s">
        <v>3215</v>
      </c>
      <c r="E1139" s="394" t="s">
        <v>3216</v>
      </c>
      <c r="F1139" s="395" t="s">
        <v>3217</v>
      </c>
      <c r="K1139" s="142"/>
    </row>
    <row r="1140" spans="3:11" ht="12.75" customHeight="1">
      <c r="C1140" s="20">
        <v>1135</v>
      </c>
      <c r="D1140" s="54" t="s">
        <v>3218</v>
      </c>
      <c r="E1140" s="3" t="s">
        <v>3219</v>
      </c>
      <c r="F1140" s="244" t="s">
        <v>3220</v>
      </c>
      <c r="K1140" s="142"/>
    </row>
    <row r="1141" spans="3:11" ht="12.75" customHeight="1">
      <c r="C1141" s="20">
        <v>1136</v>
      </c>
      <c r="D1141" s="175" t="s">
        <v>3221</v>
      </c>
      <c r="E1141" s="184" t="s">
        <v>3222</v>
      </c>
      <c r="F1141" s="245" t="s">
        <v>2249</v>
      </c>
      <c r="K1141" s="142"/>
    </row>
    <row r="1142" spans="3:11" ht="12.75" customHeight="1">
      <c r="C1142" s="20">
        <v>1137</v>
      </c>
      <c r="D1142" s="175" t="s">
        <v>3223</v>
      </c>
      <c r="E1142" s="184" t="s">
        <v>2251</v>
      </c>
      <c r="F1142" s="245" t="s">
        <v>2252</v>
      </c>
      <c r="K1142" s="142"/>
    </row>
    <row r="1143" spans="3:11" ht="12.75" customHeight="1">
      <c r="C1143" s="20">
        <v>1138</v>
      </c>
      <c r="D1143" s="175" t="s">
        <v>3224</v>
      </c>
      <c r="E1143" s="184" t="s">
        <v>3225</v>
      </c>
      <c r="F1143" s="245" t="s">
        <v>2255</v>
      </c>
      <c r="K1143" s="142"/>
    </row>
    <row r="1144" spans="3:11" ht="12.75" customHeight="1">
      <c r="C1144" s="20">
        <v>1139</v>
      </c>
      <c r="D1144" s="175" t="s">
        <v>3226</v>
      </c>
      <c r="E1144" s="184" t="s">
        <v>3227</v>
      </c>
      <c r="F1144" s="245" t="s">
        <v>2258</v>
      </c>
      <c r="K1144" s="142"/>
    </row>
    <row r="1145" spans="3:11" ht="12.75" customHeight="1">
      <c r="C1145" s="20">
        <v>1140</v>
      </c>
      <c r="D1145" s="175" t="s">
        <v>2259</v>
      </c>
      <c r="E1145" s="184" t="s">
        <v>2260</v>
      </c>
      <c r="F1145" s="245" t="s">
        <v>2261</v>
      </c>
      <c r="K1145" s="142"/>
    </row>
    <row r="1146" spans="3:11" ht="12.75" customHeight="1">
      <c r="C1146" s="20">
        <v>1141</v>
      </c>
      <c r="D1146" s="175" t="s">
        <v>2262</v>
      </c>
      <c r="E1146" s="184" t="s">
        <v>2263</v>
      </c>
      <c r="F1146" s="245" t="s">
        <v>2264</v>
      </c>
      <c r="K1146" s="142"/>
    </row>
    <row r="1147" spans="3:11" ht="12.75" customHeight="1">
      <c r="C1147" s="20">
        <v>1142</v>
      </c>
      <c r="D1147" s="175" t="s">
        <v>3228</v>
      </c>
      <c r="E1147" s="184" t="s">
        <v>3229</v>
      </c>
      <c r="F1147" s="245" t="s">
        <v>2265</v>
      </c>
      <c r="K1147" s="142"/>
    </row>
    <row r="1148" spans="3:11" ht="12.75" customHeight="1">
      <c r="C1148" s="20">
        <v>1143</v>
      </c>
      <c r="D1148" s="175" t="s">
        <v>2267</v>
      </c>
      <c r="E1148" s="184" t="s">
        <v>3230</v>
      </c>
      <c r="F1148" s="245" t="s">
        <v>2269</v>
      </c>
      <c r="K1148" s="142"/>
    </row>
    <row r="1149" spans="3:11" ht="12.75" customHeight="1">
      <c r="C1149" s="20">
        <v>1144</v>
      </c>
      <c r="D1149" s="175" t="s">
        <v>2270</v>
      </c>
      <c r="E1149" s="184" t="s">
        <v>2271</v>
      </c>
      <c r="F1149" s="245" t="s">
        <v>2272</v>
      </c>
      <c r="K1149" s="142"/>
    </row>
    <row r="1150" spans="3:11" ht="12.75" customHeight="1">
      <c r="C1150" s="20">
        <v>1145</v>
      </c>
      <c r="D1150" s="175" t="s">
        <v>3231</v>
      </c>
      <c r="E1150" s="184" t="s">
        <v>2274</v>
      </c>
      <c r="F1150" s="245" t="s">
        <v>2273</v>
      </c>
      <c r="K1150" s="142"/>
    </row>
    <row r="1151" spans="3:11" ht="12.75" customHeight="1">
      <c r="C1151" s="20">
        <v>1146</v>
      </c>
      <c r="D1151" s="175" t="s">
        <v>3232</v>
      </c>
      <c r="E1151" s="184" t="s">
        <v>3233</v>
      </c>
      <c r="F1151" s="245" t="s">
        <v>2277</v>
      </c>
      <c r="K1151" s="142"/>
    </row>
    <row r="1152" spans="3:11" ht="12.75" customHeight="1">
      <c r="C1152" s="20">
        <v>1147</v>
      </c>
      <c r="D1152" s="175" t="s">
        <v>2278</v>
      </c>
      <c r="E1152" s="184" t="s">
        <v>2279</v>
      </c>
      <c r="F1152" s="245" t="s">
        <v>2280</v>
      </c>
      <c r="K1152" s="142"/>
    </row>
    <row r="1153" spans="3:11" ht="12.75" customHeight="1">
      <c r="C1153" s="20">
        <v>1148</v>
      </c>
      <c r="D1153" s="175" t="s">
        <v>2281</v>
      </c>
      <c r="E1153" s="184" t="s">
        <v>3234</v>
      </c>
      <c r="F1153" s="245" t="s">
        <v>2283</v>
      </c>
      <c r="K1153" s="142"/>
    </row>
    <row r="1154" spans="3:11" ht="12.75" customHeight="1">
      <c r="C1154" s="20">
        <v>1149</v>
      </c>
      <c r="D1154" s="175" t="s">
        <v>2284</v>
      </c>
      <c r="E1154" s="184" t="s">
        <v>2285</v>
      </c>
      <c r="F1154" s="245" t="s">
        <v>2286</v>
      </c>
      <c r="K1154" s="142"/>
    </row>
    <row r="1155" spans="3:11" ht="12.75" customHeight="1">
      <c r="C1155" s="20">
        <v>1150</v>
      </c>
      <c r="D1155" s="175" t="s">
        <v>3235</v>
      </c>
      <c r="E1155" s="184" t="s">
        <v>3236</v>
      </c>
      <c r="F1155" s="245" t="s">
        <v>2289</v>
      </c>
      <c r="K1155" s="142"/>
    </row>
    <row r="1156" spans="3:11" ht="12.75" customHeight="1">
      <c r="C1156" s="20">
        <v>1151</v>
      </c>
      <c r="D1156" s="175" t="s">
        <v>3237</v>
      </c>
      <c r="E1156" s="184" t="s">
        <v>3238</v>
      </c>
      <c r="F1156" s="245" t="s">
        <v>2292</v>
      </c>
      <c r="K1156" s="142"/>
    </row>
    <row r="1157" spans="3:11" ht="12.75" customHeight="1">
      <c r="C1157" s="20">
        <v>1152</v>
      </c>
      <c r="D1157" s="175" t="s">
        <v>3239</v>
      </c>
      <c r="E1157" s="184" t="s">
        <v>3240</v>
      </c>
      <c r="F1157" s="245"/>
      <c r="K1157" s="142"/>
    </row>
    <row r="1158" spans="3:11" ht="12.75" customHeight="1">
      <c r="C1158" s="20">
        <v>1153</v>
      </c>
      <c r="D1158" s="175" t="s">
        <v>3241</v>
      </c>
      <c r="E1158" s="184" t="s">
        <v>3242</v>
      </c>
      <c r="F1158" s="245"/>
      <c r="K1158" s="142"/>
    </row>
    <row r="1159" spans="3:11" ht="12.75" customHeight="1">
      <c r="C1159" s="20">
        <v>1154</v>
      </c>
      <c r="D1159" s="175" t="s">
        <v>3243</v>
      </c>
      <c r="E1159" s="184" t="s">
        <v>3244</v>
      </c>
      <c r="F1159" s="245"/>
      <c r="K1159" s="142"/>
    </row>
    <row r="1160" spans="3:11" ht="12.75" customHeight="1">
      <c r="C1160" s="20">
        <v>1155</v>
      </c>
      <c r="D1160" s="146"/>
      <c r="E1160" s="64"/>
      <c r="F1160" s="245"/>
      <c r="K1160" s="142"/>
    </row>
    <row r="1161" spans="3:11" ht="12.75" customHeight="1">
      <c r="C1161" s="20">
        <v>1156</v>
      </c>
      <c r="D1161" s="54" t="s">
        <v>3245</v>
      </c>
      <c r="E1161" s="3" t="s">
        <v>3246</v>
      </c>
      <c r="F1161" s="244" t="s">
        <v>3247</v>
      </c>
      <c r="K1161" s="142"/>
    </row>
    <row r="1162" spans="3:11" ht="12.75" customHeight="1">
      <c r="C1162" s="20">
        <v>1157</v>
      </c>
      <c r="D1162" s="175" t="s">
        <v>2250</v>
      </c>
      <c r="E1162" s="184" t="s">
        <v>2251</v>
      </c>
      <c r="F1162" s="245" t="s">
        <v>2252</v>
      </c>
      <c r="K1162" s="142"/>
    </row>
    <row r="1163" spans="3:11" ht="12.75" customHeight="1">
      <c r="C1163" s="20">
        <v>1158</v>
      </c>
      <c r="D1163" s="175" t="s">
        <v>2253</v>
      </c>
      <c r="E1163" s="184" t="s">
        <v>3225</v>
      </c>
      <c r="F1163" s="245" t="s">
        <v>2255</v>
      </c>
      <c r="K1163" s="142"/>
    </row>
    <row r="1164" spans="3:11" ht="12.75" customHeight="1">
      <c r="C1164" s="20">
        <v>1159</v>
      </c>
      <c r="D1164" s="175" t="s">
        <v>2259</v>
      </c>
      <c r="E1164" s="184" t="s">
        <v>2260</v>
      </c>
      <c r="F1164" s="245" t="s">
        <v>2261</v>
      </c>
      <c r="K1164" s="142"/>
    </row>
    <row r="1165" spans="3:11" ht="12.75" customHeight="1">
      <c r="C1165" s="20">
        <v>1160</v>
      </c>
      <c r="D1165" s="175" t="s">
        <v>2262</v>
      </c>
      <c r="E1165" s="184" t="s">
        <v>2263</v>
      </c>
      <c r="F1165" s="245" t="s">
        <v>2264</v>
      </c>
      <c r="K1165" s="142"/>
    </row>
    <row r="1166" spans="3:11" ht="12.75" customHeight="1">
      <c r="C1166" s="20">
        <v>1161</v>
      </c>
      <c r="D1166" s="175" t="s">
        <v>3248</v>
      </c>
      <c r="E1166" s="184" t="s">
        <v>3249</v>
      </c>
      <c r="F1166" s="245" t="s">
        <v>2269</v>
      </c>
      <c r="K1166" s="142"/>
    </row>
    <row r="1167" spans="3:11" ht="12.75" customHeight="1">
      <c r="C1167" s="20">
        <v>1162</v>
      </c>
      <c r="D1167" s="175" t="s">
        <v>3250</v>
      </c>
      <c r="E1167" s="184" t="s">
        <v>3251</v>
      </c>
      <c r="F1167" s="245" t="s">
        <v>2272</v>
      </c>
      <c r="K1167" s="142"/>
    </row>
    <row r="1168" spans="3:11" ht="12.75" customHeight="1">
      <c r="C1168" s="20">
        <v>1163</v>
      </c>
      <c r="D1168" s="175" t="s">
        <v>2273</v>
      </c>
      <c r="E1168" s="184" t="s">
        <v>2274</v>
      </c>
      <c r="F1168" s="245" t="s">
        <v>2273</v>
      </c>
      <c r="K1168" s="142"/>
    </row>
    <row r="1169" spans="3:11" ht="12.75" customHeight="1">
      <c r="C1169" s="20">
        <v>1164</v>
      </c>
      <c r="D1169" s="175" t="s">
        <v>3252</v>
      </c>
      <c r="E1169" s="184" t="s">
        <v>3253</v>
      </c>
      <c r="F1169" s="245" t="s">
        <v>2280</v>
      </c>
      <c r="K1169" s="142"/>
    </row>
    <row r="1170" spans="3:11" ht="12.75" customHeight="1">
      <c r="C1170" s="20">
        <v>1165</v>
      </c>
      <c r="D1170" s="175" t="s">
        <v>3254</v>
      </c>
      <c r="E1170" s="184" t="s">
        <v>3255</v>
      </c>
      <c r="F1170" s="245" t="s">
        <v>2283</v>
      </c>
      <c r="K1170" s="142"/>
    </row>
    <row r="1171" spans="3:11" ht="12.75" customHeight="1">
      <c r="C1171" s="20">
        <v>1166</v>
      </c>
      <c r="D1171" s="175" t="s">
        <v>2284</v>
      </c>
      <c r="E1171" s="184" t="s">
        <v>2285</v>
      </c>
      <c r="F1171" s="245" t="s">
        <v>2286</v>
      </c>
      <c r="K1171" s="142"/>
    </row>
    <row r="1172" spans="3:11" ht="13.5" customHeight="1">
      <c r="C1172" s="20">
        <v>1167</v>
      </c>
      <c r="D1172" s="175" t="s">
        <v>3256</v>
      </c>
      <c r="E1172" s="184" t="s">
        <v>3257</v>
      </c>
      <c r="F1172" s="245" t="s">
        <v>2289</v>
      </c>
      <c r="K1172" s="142"/>
    </row>
    <row r="1173" spans="3:11" ht="13.5" customHeight="1" thickBot="1">
      <c r="C1173" s="20">
        <v>1168</v>
      </c>
      <c r="D1173" s="396" t="s">
        <v>3258</v>
      </c>
      <c r="E1173" s="322" t="s">
        <v>3259</v>
      </c>
      <c r="F1173" s="397" t="s">
        <v>2292</v>
      </c>
      <c r="K1173" s="142"/>
    </row>
    <row r="1174" spans="3:11" ht="12.75" customHeight="1" thickTop="1">
      <c r="C1174" s="20">
        <v>1169</v>
      </c>
      <c r="D1174" s="175"/>
      <c r="E1174" s="184"/>
      <c r="F1174" s="245"/>
      <c r="K1174" s="142"/>
    </row>
    <row r="1175" spans="3:11" ht="12.75" customHeight="1">
      <c r="C1175" s="20">
        <v>1170</v>
      </c>
      <c r="D1175" s="54" t="s">
        <v>1620</v>
      </c>
      <c r="E1175" s="3" t="s">
        <v>3260</v>
      </c>
      <c r="F1175" s="244" t="s">
        <v>3261</v>
      </c>
      <c r="K1175" s="142"/>
    </row>
    <row r="1176" spans="3:11" ht="12.75" customHeight="1">
      <c r="C1176" s="20">
        <v>1171</v>
      </c>
      <c r="D1176" s="175" t="s">
        <v>1603</v>
      </c>
      <c r="E1176" s="184" t="s">
        <v>3262</v>
      </c>
      <c r="F1176" s="245" t="s">
        <v>3263</v>
      </c>
      <c r="K1176" s="142"/>
    </row>
    <row r="1177" spans="3:11" ht="12.75" customHeight="1">
      <c r="C1177" s="20">
        <v>1172</v>
      </c>
      <c r="D1177" s="175" t="s">
        <v>1604</v>
      </c>
      <c r="E1177" s="184" t="s">
        <v>3264</v>
      </c>
      <c r="F1177" s="245" t="s">
        <v>3265</v>
      </c>
      <c r="K1177" s="142"/>
    </row>
    <row r="1178" spans="3:11" ht="12.75" customHeight="1">
      <c r="C1178" s="20">
        <v>1173</v>
      </c>
      <c r="D1178" s="175" t="s">
        <v>1566</v>
      </c>
      <c r="E1178" s="184" t="s">
        <v>3266</v>
      </c>
      <c r="F1178" s="245" t="s">
        <v>3267</v>
      </c>
      <c r="K1178" s="142"/>
    </row>
    <row r="1179" spans="3:11" ht="12.75" customHeight="1">
      <c r="C1179" s="20">
        <v>1174</v>
      </c>
      <c r="D1179" s="146"/>
      <c r="E1179" s="184"/>
      <c r="F1179" s="146" t="s">
        <v>3268</v>
      </c>
      <c r="K1179" s="142"/>
    </row>
    <row r="1180" spans="3:11" ht="12.75" customHeight="1">
      <c r="C1180" s="20">
        <v>1175</v>
      </c>
      <c r="D1180" s="54" t="s">
        <v>3269</v>
      </c>
      <c r="E1180" s="3" t="s">
        <v>3270</v>
      </c>
      <c r="F1180" s="244" t="s">
        <v>3271</v>
      </c>
      <c r="K1180" s="142"/>
    </row>
    <row r="1181" spans="3:11" ht="12.75" customHeight="1">
      <c r="C1181" s="20">
        <v>1176</v>
      </c>
      <c r="D1181" s="175" t="s">
        <v>1553</v>
      </c>
      <c r="E1181" s="184" t="s">
        <v>3272</v>
      </c>
      <c r="F1181" s="245" t="s">
        <v>3273</v>
      </c>
      <c r="K1181" s="142"/>
    </row>
    <row r="1182" spans="3:11" ht="12.75" customHeight="1">
      <c r="C1182" s="20">
        <v>1177</v>
      </c>
      <c r="D1182" s="175" t="s">
        <v>1554</v>
      </c>
      <c r="E1182" s="184" t="s">
        <v>3274</v>
      </c>
      <c r="F1182" s="245" t="s">
        <v>3275</v>
      </c>
      <c r="K1182" s="142"/>
    </row>
    <row r="1183" spans="3:11" ht="12.75" customHeight="1">
      <c r="C1183" s="20">
        <v>1178</v>
      </c>
      <c r="D1183" s="175" t="s">
        <v>3276</v>
      </c>
      <c r="E1183" s="184" t="s">
        <v>2385</v>
      </c>
      <c r="F1183" s="245" t="s">
        <v>3277</v>
      </c>
      <c r="K1183" s="142"/>
    </row>
    <row r="1184" spans="3:11" ht="12.75" customHeight="1">
      <c r="C1184" s="20">
        <v>1179</v>
      </c>
      <c r="D1184" s="175" t="s">
        <v>3278</v>
      </c>
      <c r="E1184" s="184" t="s">
        <v>2458</v>
      </c>
      <c r="F1184" s="245" t="s">
        <v>3279</v>
      </c>
      <c r="K1184" s="142"/>
    </row>
    <row r="1185" spans="3:11" ht="12.75" customHeight="1">
      <c r="C1185" s="20">
        <v>1180</v>
      </c>
      <c r="D1185" s="175"/>
      <c r="E1185" s="64"/>
      <c r="F1185" s="245"/>
      <c r="K1185" s="142"/>
    </row>
    <row r="1186" spans="3:11" ht="12.75" customHeight="1">
      <c r="C1186" s="20">
        <v>1181</v>
      </c>
      <c r="D1186" s="175" t="s">
        <v>3280</v>
      </c>
      <c r="E1186" s="184" t="s">
        <v>3281</v>
      </c>
      <c r="F1186" s="245" t="s">
        <v>3282</v>
      </c>
      <c r="K1186" s="142"/>
    </row>
    <row r="1187" spans="3:11" ht="12.75" customHeight="1">
      <c r="C1187" s="20">
        <v>1182</v>
      </c>
      <c r="D1187" s="175" t="s">
        <v>3283</v>
      </c>
      <c r="E1187" s="184" t="s">
        <v>3284</v>
      </c>
      <c r="F1187" s="245" t="s">
        <v>3283</v>
      </c>
      <c r="K1187" s="142"/>
    </row>
    <row r="1188" spans="3:11" ht="12.75" customHeight="1">
      <c r="C1188" s="20">
        <v>1183</v>
      </c>
      <c r="D1188" s="175" t="s">
        <v>3285</v>
      </c>
      <c r="E1188" s="184" t="s">
        <v>3286</v>
      </c>
      <c r="F1188" s="245" t="s">
        <v>3287</v>
      </c>
      <c r="K1188" s="142"/>
    </row>
    <row r="1189" spans="3:11" ht="12.75" customHeight="1">
      <c r="C1189" s="20">
        <v>1184</v>
      </c>
      <c r="D1189" s="175"/>
      <c r="E1189" s="64"/>
      <c r="F1189" s="245"/>
      <c r="K1189" s="142"/>
    </row>
    <row r="1190" spans="3:11" ht="12.75" customHeight="1">
      <c r="C1190" s="20">
        <v>1185</v>
      </c>
      <c r="D1190" s="175" t="s">
        <v>2034</v>
      </c>
      <c r="E1190" s="184" t="s">
        <v>2035</v>
      </c>
      <c r="F1190" s="245" t="s">
        <v>2036</v>
      </c>
      <c r="K1190" s="142"/>
    </row>
    <row r="1191" spans="3:11" ht="12.75" customHeight="1">
      <c r="C1191" s="20">
        <v>1186</v>
      </c>
      <c r="D1191" s="175" t="s">
        <v>116</v>
      </c>
      <c r="E1191" s="184" t="s">
        <v>2043</v>
      </c>
      <c r="F1191" s="245" t="s">
        <v>2292</v>
      </c>
      <c r="K1191" s="142"/>
    </row>
    <row r="1192" spans="3:11" ht="12.75" customHeight="1">
      <c r="C1192" s="20">
        <v>1187</v>
      </c>
      <c r="D1192" s="146"/>
      <c r="E1192" s="64"/>
      <c r="F1192" s="146"/>
      <c r="K1192" s="142"/>
    </row>
    <row r="1193" spans="3:11" ht="12.75" customHeight="1">
      <c r="C1193" s="20">
        <v>1188</v>
      </c>
      <c r="D1193" s="175" t="s">
        <v>2029</v>
      </c>
      <c r="E1193" s="184" t="s">
        <v>3288</v>
      </c>
      <c r="F1193" s="245" t="s">
        <v>2029</v>
      </c>
      <c r="K1193" s="142"/>
    </row>
    <row r="1194" spans="3:11" ht="12.75" customHeight="1">
      <c r="C1194" s="20">
        <v>1189</v>
      </c>
      <c r="D1194" s="175" t="s">
        <v>3289</v>
      </c>
      <c r="E1194" s="184" t="s">
        <v>3290</v>
      </c>
      <c r="F1194" s="245" t="s">
        <v>3289</v>
      </c>
      <c r="K1194" s="142"/>
    </row>
    <row r="1195" spans="3:11" ht="12.75" customHeight="1">
      <c r="C1195" s="20">
        <v>1190</v>
      </c>
      <c r="D1195" s="175" t="s">
        <v>3291</v>
      </c>
      <c r="E1195" s="184" t="s">
        <v>3292</v>
      </c>
      <c r="F1195" s="245" t="s">
        <v>3293</v>
      </c>
      <c r="K1195" s="142"/>
    </row>
    <row r="1196" spans="3:11" ht="12.75" customHeight="1">
      <c r="C1196" s="20">
        <v>1191</v>
      </c>
      <c r="D1196" s="175"/>
      <c r="E1196" s="64"/>
      <c r="F1196" s="245"/>
      <c r="K1196" s="142"/>
    </row>
    <row r="1197" spans="3:11" ht="12.75" customHeight="1">
      <c r="C1197" s="20">
        <v>1192</v>
      </c>
      <c r="D1197" s="175" t="s">
        <v>2031</v>
      </c>
      <c r="E1197" s="184" t="s">
        <v>2032</v>
      </c>
      <c r="F1197" s="245" t="s">
        <v>2033</v>
      </c>
      <c r="K1197" s="142"/>
    </row>
    <row r="1198" spans="3:11" ht="12.75" customHeight="1">
      <c r="C1198" s="20">
        <v>1193</v>
      </c>
      <c r="D1198" s="175" t="s">
        <v>2034</v>
      </c>
      <c r="E1198" s="184" t="s">
        <v>2035</v>
      </c>
      <c r="F1198" s="245" t="s">
        <v>2036</v>
      </c>
      <c r="K1198" s="142"/>
    </row>
    <row r="1199" spans="3:11" ht="12.75" customHeight="1">
      <c r="C1199" s="20">
        <v>1194</v>
      </c>
      <c r="D1199" s="175" t="s">
        <v>3294</v>
      </c>
      <c r="E1199" s="184" t="s">
        <v>2038</v>
      </c>
      <c r="F1199" s="245" t="s">
        <v>2039</v>
      </c>
      <c r="K1199" s="142"/>
    </row>
    <row r="1200" spans="3:11" ht="12.75" customHeight="1">
      <c r="C1200" s="20">
        <v>1195</v>
      </c>
      <c r="D1200" s="175" t="s">
        <v>2040</v>
      </c>
      <c r="E1200" s="184" t="s">
        <v>2041</v>
      </c>
      <c r="F1200" s="245" t="s">
        <v>2042</v>
      </c>
      <c r="K1200" s="142"/>
    </row>
    <row r="1201" spans="3:11" ht="12.75" customHeight="1">
      <c r="C1201" s="20">
        <v>1196</v>
      </c>
      <c r="D1201" s="175"/>
      <c r="E1201" s="64"/>
      <c r="F1201" s="245"/>
      <c r="K1201" s="142"/>
    </row>
    <row r="1202" spans="3:11" ht="12.75" customHeight="1">
      <c r="C1202" s="20">
        <v>1197</v>
      </c>
      <c r="D1202" s="175"/>
      <c r="E1202" s="64"/>
      <c r="F1202" s="245"/>
      <c r="K1202" s="142"/>
    </row>
    <row r="1203" spans="3:11" ht="12.75" customHeight="1">
      <c r="C1203" s="20">
        <v>1198</v>
      </c>
      <c r="D1203" s="54" t="s">
        <v>3295</v>
      </c>
      <c r="E1203" s="3" t="s">
        <v>3296</v>
      </c>
      <c r="F1203" s="244" t="s">
        <v>3297</v>
      </c>
      <c r="K1203" s="142"/>
    </row>
    <row r="1204" spans="3:11" ht="12.75" customHeight="1">
      <c r="C1204" s="20">
        <v>1199</v>
      </c>
      <c r="D1204" s="176" t="s">
        <v>3298</v>
      </c>
      <c r="E1204" s="316" t="s">
        <v>3299</v>
      </c>
      <c r="F1204" s="246" t="s">
        <v>3300</v>
      </c>
      <c r="K1204" s="142"/>
    </row>
    <row r="1205" spans="3:11" ht="12.75" customHeight="1">
      <c r="C1205" s="20">
        <v>1200</v>
      </c>
      <c r="D1205" s="175" t="s">
        <v>3301</v>
      </c>
      <c r="E1205" s="184" t="s">
        <v>3302</v>
      </c>
      <c r="F1205" s="245" t="s">
        <v>3303</v>
      </c>
      <c r="K1205" s="142"/>
    </row>
    <row r="1206" spans="3:11" ht="12.75" customHeight="1">
      <c r="C1206" s="20">
        <v>1201</v>
      </c>
      <c r="D1206" s="175" t="s">
        <v>3304</v>
      </c>
      <c r="E1206" s="184" t="s">
        <v>3305</v>
      </c>
      <c r="F1206" s="245" t="s">
        <v>3306</v>
      </c>
      <c r="K1206" s="142"/>
    </row>
    <row r="1207" spans="3:11" ht="12.75" customHeight="1">
      <c r="C1207" s="20">
        <v>1202</v>
      </c>
      <c r="D1207" s="175" t="s">
        <v>3307</v>
      </c>
      <c r="E1207" s="184" t="s">
        <v>3308</v>
      </c>
      <c r="F1207" s="245" t="s">
        <v>3309</v>
      </c>
      <c r="K1207" s="142"/>
    </row>
    <row r="1208" spans="3:11" ht="12.75" customHeight="1">
      <c r="C1208" s="20">
        <v>1203</v>
      </c>
      <c r="D1208" s="146"/>
      <c r="E1208" s="64"/>
      <c r="F1208" s="146"/>
      <c r="K1208" s="142"/>
    </row>
    <row r="1209" spans="3:11" ht="12.75" customHeight="1">
      <c r="C1209" s="20">
        <v>1204</v>
      </c>
      <c r="D1209" s="175" t="s">
        <v>3310</v>
      </c>
      <c r="E1209" s="184" t="s">
        <v>2336</v>
      </c>
      <c r="F1209" s="245" t="s">
        <v>3311</v>
      </c>
      <c r="K1209" s="142"/>
    </row>
    <row r="1210" spans="3:11" ht="12.75" customHeight="1">
      <c r="C1210" s="20">
        <v>1205</v>
      </c>
      <c r="D1210" s="175" t="s">
        <v>3312</v>
      </c>
      <c r="E1210" s="184" t="s">
        <v>3313</v>
      </c>
      <c r="F1210" s="245" t="s">
        <v>3314</v>
      </c>
      <c r="K1210" s="142"/>
    </row>
    <row r="1211" spans="3:11" ht="12.75" customHeight="1">
      <c r="C1211" s="20">
        <v>1206</v>
      </c>
      <c r="D1211" s="175" t="s">
        <v>3315</v>
      </c>
      <c r="E1211" s="177" t="s">
        <v>3316</v>
      </c>
      <c r="F1211" s="245" t="s">
        <v>3317</v>
      </c>
      <c r="K1211" s="142"/>
    </row>
    <row r="1212" spans="3:11" ht="12.75" customHeight="1">
      <c r="C1212" s="20">
        <v>1207</v>
      </c>
      <c r="D1212" s="175"/>
      <c r="E1212" s="64"/>
      <c r="F1212" s="245"/>
      <c r="K1212" s="142"/>
    </row>
    <row r="1213" spans="3:11" ht="12.75" customHeight="1">
      <c r="C1213" s="20">
        <v>1208</v>
      </c>
      <c r="D1213" s="175" t="s">
        <v>3318</v>
      </c>
      <c r="E1213" s="184" t="s">
        <v>3319</v>
      </c>
      <c r="F1213" s="245" t="s">
        <v>3320</v>
      </c>
      <c r="K1213" s="142"/>
    </row>
    <row r="1214" spans="3:11" ht="12.75" customHeight="1">
      <c r="C1214" s="20">
        <v>1209</v>
      </c>
      <c r="D1214" s="175" t="s">
        <v>3321</v>
      </c>
      <c r="E1214" s="184" t="s">
        <v>3322</v>
      </c>
      <c r="F1214" s="245" t="s">
        <v>3323</v>
      </c>
      <c r="K1214" s="142"/>
    </row>
    <row r="1215" spans="3:11" ht="12.75" customHeight="1">
      <c r="C1215" s="20">
        <v>1210</v>
      </c>
      <c r="D1215" s="175"/>
      <c r="E1215" s="64"/>
      <c r="F1215" s="175"/>
      <c r="K1215" s="142"/>
    </row>
    <row r="1216" spans="3:11" ht="12.75" customHeight="1">
      <c r="C1216" s="20">
        <v>1211</v>
      </c>
      <c r="D1216" s="175"/>
      <c r="E1216" s="64"/>
      <c r="F1216" s="321"/>
      <c r="K1216" s="142"/>
    </row>
    <row r="1217" spans="3:11" ht="12.75" customHeight="1">
      <c r="C1217" s="20">
        <v>1212</v>
      </c>
      <c r="D1217" s="175" t="s">
        <v>3324</v>
      </c>
      <c r="E1217" s="184" t="s">
        <v>3325</v>
      </c>
      <c r="F1217" s="245" t="s">
        <v>3326</v>
      </c>
      <c r="K1217" s="142"/>
    </row>
    <row r="1218" spans="3:11" ht="12.75" customHeight="1">
      <c r="C1218" s="20">
        <v>1213</v>
      </c>
      <c r="D1218" s="175" t="s">
        <v>3327</v>
      </c>
      <c r="E1218" s="184" t="s">
        <v>3328</v>
      </c>
      <c r="F1218" s="245" t="s">
        <v>3329</v>
      </c>
      <c r="K1218" s="142"/>
    </row>
    <row r="1219" spans="3:11" ht="12.75" customHeight="1">
      <c r="C1219" s="20">
        <v>1214</v>
      </c>
      <c r="D1219" s="175"/>
      <c r="E1219" s="64"/>
      <c r="F1219" s="245"/>
      <c r="K1219" s="142"/>
    </row>
    <row r="1220" spans="3:11" ht="12.75" customHeight="1">
      <c r="C1220" s="20">
        <v>1215</v>
      </c>
      <c r="D1220" s="175" t="s">
        <v>726</v>
      </c>
      <c r="E1220" s="184" t="s">
        <v>726</v>
      </c>
      <c r="F1220" s="245" t="s">
        <v>726</v>
      </c>
      <c r="K1220" s="142"/>
    </row>
    <row r="1221" spans="3:11" ht="12.75" customHeight="1">
      <c r="C1221" s="20">
        <v>1216</v>
      </c>
      <c r="D1221" s="175" t="s">
        <v>3330</v>
      </c>
      <c r="E1221" s="184" t="s">
        <v>3331</v>
      </c>
      <c r="F1221" s="245" t="s">
        <v>3330</v>
      </c>
      <c r="K1221" s="142"/>
    </row>
    <row r="1222" spans="3:11" ht="12.75" customHeight="1">
      <c r="C1222" s="20">
        <v>1217</v>
      </c>
      <c r="D1222" s="175"/>
      <c r="E1222" s="64"/>
      <c r="F1222" s="245"/>
      <c r="K1222" s="142"/>
    </row>
    <row r="1223" spans="3:11" ht="12.75" customHeight="1">
      <c r="C1223" s="20">
        <v>1218</v>
      </c>
      <c r="D1223" s="175" t="s">
        <v>3332</v>
      </c>
      <c r="E1223" s="184" t="s">
        <v>3333</v>
      </c>
      <c r="F1223" s="245" t="s">
        <v>3334</v>
      </c>
      <c r="K1223" s="142"/>
    </row>
    <row r="1224" spans="3:11" ht="12.75" customHeight="1">
      <c r="C1224" s="20">
        <v>1219</v>
      </c>
      <c r="D1224" s="303" t="s">
        <v>3335</v>
      </c>
      <c r="E1224" s="10" t="s">
        <v>3336</v>
      </c>
      <c r="F1224" s="304" t="s">
        <v>3337</v>
      </c>
      <c r="K1224" s="142"/>
    </row>
    <row r="1225" spans="3:11" ht="12.75" customHeight="1">
      <c r="C1225" s="20">
        <v>1220</v>
      </c>
      <c r="D1225" s="146" t="s">
        <v>3338</v>
      </c>
      <c r="E1225" s="64" t="s">
        <v>3339</v>
      </c>
      <c r="F1225" s="304" t="s">
        <v>3340</v>
      </c>
      <c r="K1225" s="142"/>
    </row>
    <row r="1226" spans="3:11" ht="12.75" customHeight="1">
      <c r="C1226" s="20">
        <v>1221</v>
      </c>
      <c r="D1226" s="150" t="s">
        <v>3341</v>
      </c>
      <c r="E1226" s="321" t="s">
        <v>3342</v>
      </c>
      <c r="F1226" s="245" t="s">
        <v>3343</v>
      </c>
      <c r="K1226" s="142"/>
    </row>
    <row r="1227" spans="3:11" ht="12.75" customHeight="1">
      <c r="C1227" s="20">
        <v>1222</v>
      </c>
      <c r="D1227" s="321" t="s">
        <v>3344</v>
      </c>
      <c r="E1227" s="321" t="s">
        <v>3345</v>
      </c>
      <c r="F1227" s="398" t="s">
        <v>3346</v>
      </c>
      <c r="K1227" s="142"/>
    </row>
    <row r="1228" spans="3:11" ht="12.75" customHeight="1">
      <c r="C1228" s="20">
        <v>1223</v>
      </c>
      <c r="D1228" s="150" t="s">
        <v>3347</v>
      </c>
      <c r="E1228" s="321" t="s">
        <v>3348</v>
      </c>
      <c r="F1228" s="245" t="s">
        <v>3349</v>
      </c>
      <c r="K1228" s="142"/>
    </row>
    <row r="1229" spans="3:11" ht="12.75" customHeight="1">
      <c r="C1229" s="20">
        <v>1224</v>
      </c>
      <c r="D1229" s="150" t="s">
        <v>3350</v>
      </c>
      <c r="E1229" s="321" t="s">
        <v>3351</v>
      </c>
      <c r="F1229" s="398" t="s">
        <v>3352</v>
      </c>
      <c r="K1229" s="142"/>
    </row>
    <row r="1230" spans="3:11" ht="12.75" customHeight="1">
      <c r="C1230" s="20">
        <v>1225</v>
      </c>
      <c r="D1230" s="150" t="s">
        <v>3353</v>
      </c>
      <c r="E1230" s="321" t="s">
        <v>3354</v>
      </c>
      <c r="F1230" s="398" t="s">
        <v>3355</v>
      </c>
      <c r="K1230" s="142"/>
    </row>
    <row r="1231" spans="3:11" ht="12.75" customHeight="1">
      <c r="C1231" s="20">
        <v>1226</v>
      </c>
      <c r="D1231" s="150" t="s">
        <v>3356</v>
      </c>
      <c r="E1231" s="64" t="s">
        <v>3357</v>
      </c>
      <c r="F1231" s="398" t="s">
        <v>3358</v>
      </c>
      <c r="K1231" s="142"/>
    </row>
    <row r="1232" spans="3:11" ht="38.25">
      <c r="C1232" s="20">
        <v>1227</v>
      </c>
      <c r="D1232" s="150" t="s">
        <v>1177</v>
      </c>
      <c r="E1232" s="321" t="s">
        <v>3244</v>
      </c>
      <c r="F1232" s="245" t="s">
        <v>3359</v>
      </c>
      <c r="K1232" s="142"/>
    </row>
    <row r="1233" spans="3:11">
      <c r="C1233" s="20">
        <v>1228</v>
      </c>
      <c r="D1233" s="265"/>
      <c r="E1233" s="399"/>
      <c r="F1233" s="64" t="s">
        <v>3360</v>
      </c>
      <c r="K1233" s="142"/>
    </row>
    <row r="1234" spans="3:11">
      <c r="C1234" s="20">
        <v>1228.0999999999999</v>
      </c>
      <c r="D1234" s="266"/>
      <c r="E1234" s="400"/>
    </row>
    <row r="1235" spans="3:11" ht="25.5">
      <c r="C1235" s="20">
        <v>1229</v>
      </c>
      <c r="D1235" s="177" t="s">
        <v>3361</v>
      </c>
      <c r="E1235" s="177" t="s">
        <v>3362</v>
      </c>
      <c r="F1235" s="177" t="s">
        <v>3361</v>
      </c>
    </row>
    <row r="1236" spans="3:11" ht="25.5">
      <c r="C1236" s="20">
        <v>1230</v>
      </c>
      <c r="D1236" s="177" t="s">
        <v>3363</v>
      </c>
      <c r="E1236" s="177" t="s">
        <v>3364</v>
      </c>
      <c r="F1236" s="177" t="s">
        <v>3363</v>
      </c>
    </row>
    <row r="1237" spans="3:11" ht="25.5">
      <c r="C1237" s="20">
        <v>1231</v>
      </c>
      <c r="D1237" s="177" t="s">
        <v>3365</v>
      </c>
      <c r="E1237" s="177" t="s">
        <v>3366</v>
      </c>
      <c r="F1237" s="177" t="s">
        <v>3365</v>
      </c>
    </row>
    <row r="1238" spans="3:11">
      <c r="C1238" s="20">
        <v>1232</v>
      </c>
      <c r="E1238" s="64"/>
    </row>
    <row r="1239" spans="3:11" ht="25.5">
      <c r="C1239" s="20">
        <v>1233</v>
      </c>
      <c r="D1239" s="205" t="s">
        <v>3367</v>
      </c>
      <c r="E1239" s="205" t="s">
        <v>3368</v>
      </c>
      <c r="F1239" s="169" t="s">
        <v>3369</v>
      </c>
    </row>
    <row r="1240" spans="3:11" ht="25.5">
      <c r="C1240" s="20">
        <v>1234</v>
      </c>
      <c r="D1240" s="205" t="s">
        <v>3370</v>
      </c>
      <c r="E1240" s="205" t="s">
        <v>3371</v>
      </c>
      <c r="F1240" s="169" t="s">
        <v>3372</v>
      </c>
    </row>
    <row r="1241" spans="3:11" ht="25.5">
      <c r="C1241" s="20">
        <v>1235</v>
      </c>
      <c r="D1241" s="205" t="s">
        <v>3373</v>
      </c>
      <c r="E1241" s="205" t="s">
        <v>3374</v>
      </c>
      <c r="F1241" s="169" t="s">
        <v>3375</v>
      </c>
    </row>
    <row r="1242" spans="3:11" ht="38.25">
      <c r="C1242" s="20">
        <v>1236</v>
      </c>
      <c r="D1242" s="205" t="s">
        <v>3376</v>
      </c>
      <c r="E1242" s="205" t="s">
        <v>3377</v>
      </c>
      <c r="F1242" s="169" t="s">
        <v>3378</v>
      </c>
    </row>
    <row r="1243" spans="3:11" ht="25.5">
      <c r="C1243" s="20">
        <v>1237</v>
      </c>
      <c r="D1243" s="205" t="s">
        <v>3379</v>
      </c>
      <c r="E1243" s="205" t="s">
        <v>3380</v>
      </c>
      <c r="F1243" s="169" t="s">
        <v>3381</v>
      </c>
    </row>
    <row r="1244" spans="3:11">
      <c r="E1244" s="64"/>
    </row>
    <row r="1245" spans="3:11">
      <c r="C1245" s="64" t="s">
        <v>3382</v>
      </c>
      <c r="D1245" s="64" t="s">
        <v>3382</v>
      </c>
      <c r="E1245" s="64" t="s">
        <v>3383</v>
      </c>
      <c r="F1245" s="64" t="s">
        <v>3382</v>
      </c>
    </row>
    <row r="1246" spans="3:11">
      <c r="C1246" s="64" t="s">
        <v>3384</v>
      </c>
      <c r="D1246" s="64" t="s">
        <v>3384</v>
      </c>
      <c r="E1246" s="64" t="s">
        <v>3385</v>
      </c>
      <c r="F1246" s="64" t="s">
        <v>3384</v>
      </c>
    </row>
    <row r="1247" spans="3:11">
      <c r="C1247" s="64" t="s">
        <v>3386</v>
      </c>
      <c r="D1247" s="64" t="s">
        <v>3386</v>
      </c>
      <c r="E1247" s="64" t="s">
        <v>3387</v>
      </c>
      <c r="F1247" s="64" t="s">
        <v>3386</v>
      </c>
    </row>
    <row r="1248" spans="3:11">
      <c r="C1248" s="64" t="s">
        <v>3388</v>
      </c>
      <c r="D1248" s="64" t="s">
        <v>3388</v>
      </c>
      <c r="E1248" s="64" t="s">
        <v>3389</v>
      </c>
      <c r="F1248" s="64" t="s">
        <v>3388</v>
      </c>
    </row>
    <row r="1249" spans="3:6">
      <c r="C1249" s="64" t="s">
        <v>3390</v>
      </c>
      <c r="D1249" s="64" t="s">
        <v>3390</v>
      </c>
      <c r="E1249" s="64" t="s">
        <v>3391</v>
      </c>
      <c r="F1249" s="64" t="s">
        <v>3390</v>
      </c>
    </row>
    <row r="1250" spans="3:6" ht="51">
      <c r="C1250" s="64" t="s">
        <v>3392</v>
      </c>
      <c r="D1250" s="64" t="s">
        <v>3392</v>
      </c>
      <c r="E1250" s="64" t="s">
        <v>3393</v>
      </c>
      <c r="F1250" s="64" t="s">
        <v>3394</v>
      </c>
    </row>
    <row r="1251" spans="3:6" ht="25.5">
      <c r="C1251" s="64" t="s">
        <v>3395</v>
      </c>
      <c r="D1251" s="64" t="s">
        <v>3395</v>
      </c>
      <c r="E1251" s="64" t="s">
        <v>3396</v>
      </c>
      <c r="F1251" s="64" t="s">
        <v>3397</v>
      </c>
    </row>
    <row r="1252" spans="3:6" ht="25.5">
      <c r="C1252" s="64" t="s">
        <v>3398</v>
      </c>
      <c r="D1252" s="64" t="s">
        <v>3398</v>
      </c>
      <c r="E1252" s="64" t="s">
        <v>3399</v>
      </c>
      <c r="F1252" s="64" t="s">
        <v>3400</v>
      </c>
    </row>
    <row r="1253" spans="3:6">
      <c r="C1253" s="64" t="s">
        <v>3401</v>
      </c>
      <c r="D1253" s="64" t="s">
        <v>3401</v>
      </c>
      <c r="E1253" s="64" t="s">
        <v>3402</v>
      </c>
      <c r="F1253" s="64" t="s">
        <v>3403</v>
      </c>
    </row>
    <row r="1254" spans="3:6" ht="25.5">
      <c r="C1254" s="64" t="s">
        <v>3404</v>
      </c>
      <c r="D1254" s="64" t="s">
        <v>3404</v>
      </c>
      <c r="E1254" s="64" t="s">
        <v>3405</v>
      </c>
      <c r="F1254" s="64" t="s">
        <v>3406</v>
      </c>
    </row>
    <row r="1255" spans="3:6" ht="51">
      <c r="C1255" s="64" t="s">
        <v>3407</v>
      </c>
      <c r="D1255" s="64" t="s">
        <v>3407</v>
      </c>
      <c r="E1255" s="64" t="s">
        <v>3408</v>
      </c>
      <c r="F1255" s="64" t="s">
        <v>3409</v>
      </c>
    </row>
    <row r="1256" spans="3:6" ht="63.75">
      <c r="C1256" s="64" t="s">
        <v>3410</v>
      </c>
      <c r="D1256" s="64" t="s">
        <v>3410</v>
      </c>
      <c r="E1256" s="64" t="s">
        <v>3411</v>
      </c>
      <c r="F1256" s="64" t="s">
        <v>3412</v>
      </c>
    </row>
    <row r="1257" spans="3:6" ht="63.75">
      <c r="C1257" s="64" t="s">
        <v>3413</v>
      </c>
      <c r="D1257" s="64" t="s">
        <v>3413</v>
      </c>
      <c r="E1257" s="64" t="s">
        <v>3414</v>
      </c>
      <c r="F1257" s="64" t="s">
        <v>3415</v>
      </c>
    </row>
    <row r="1258" spans="3:6" ht="63.75">
      <c r="C1258" s="64" t="s">
        <v>3416</v>
      </c>
      <c r="D1258" s="64" t="s">
        <v>3416</v>
      </c>
      <c r="E1258" s="64" t="s">
        <v>3417</v>
      </c>
      <c r="F1258" s="64" t="s">
        <v>3418</v>
      </c>
    </row>
    <row r="1259" spans="3:6" ht="63.75">
      <c r="C1259" s="64" t="s">
        <v>3419</v>
      </c>
      <c r="D1259" s="64" t="s">
        <v>3419</v>
      </c>
      <c r="E1259" s="64" t="s">
        <v>3420</v>
      </c>
      <c r="F1259" s="64" t="s">
        <v>3421</v>
      </c>
    </row>
    <row r="1260" spans="3:6" ht="25.5">
      <c r="C1260" s="64" t="s">
        <v>3422</v>
      </c>
      <c r="D1260" s="64" t="s">
        <v>3422</v>
      </c>
      <c r="E1260" s="64" t="s">
        <v>3423</v>
      </c>
      <c r="F1260" s="64" t="s">
        <v>3424</v>
      </c>
    </row>
    <row r="1261" spans="3:6" ht="25.5">
      <c r="C1261" s="64" t="s">
        <v>3425</v>
      </c>
      <c r="D1261" s="64" t="s">
        <v>3425</v>
      </c>
      <c r="E1261" s="64" t="s">
        <v>3426</v>
      </c>
      <c r="F1261" s="64" t="s">
        <v>3427</v>
      </c>
    </row>
    <row r="1262" spans="3:6" ht="63.75">
      <c r="C1262" s="64" t="s">
        <v>3428</v>
      </c>
      <c r="D1262" s="64" t="s">
        <v>3428</v>
      </c>
      <c r="E1262" s="64" t="s">
        <v>3429</v>
      </c>
      <c r="F1262" s="64" t="s">
        <v>3430</v>
      </c>
    </row>
    <row r="1263" spans="3:6" ht="76.5">
      <c r="C1263" s="64" t="s">
        <v>3431</v>
      </c>
      <c r="D1263" s="64" t="s">
        <v>3431</v>
      </c>
      <c r="E1263" s="64" t="s">
        <v>3432</v>
      </c>
      <c r="F1263" s="64" t="s">
        <v>3433</v>
      </c>
    </row>
    <row r="1264" spans="3:6" ht="76.5">
      <c r="C1264" s="64" t="s">
        <v>3434</v>
      </c>
      <c r="D1264" s="64" t="s">
        <v>3434</v>
      </c>
      <c r="E1264" s="64" t="s">
        <v>3435</v>
      </c>
      <c r="F1264" s="64" t="s">
        <v>3436</v>
      </c>
    </row>
    <row r="1265" spans="3:6" ht="76.5">
      <c r="C1265" s="64" t="s">
        <v>3437</v>
      </c>
      <c r="D1265" s="64" t="s">
        <v>3437</v>
      </c>
      <c r="E1265" s="64" t="s">
        <v>3438</v>
      </c>
      <c r="F1265" s="64" t="s">
        <v>3439</v>
      </c>
    </row>
    <row r="1266" spans="3:6" ht="76.5">
      <c r="C1266" s="64" t="s">
        <v>3440</v>
      </c>
      <c r="D1266" s="64" t="s">
        <v>3440</v>
      </c>
      <c r="E1266" s="64" t="s">
        <v>3441</v>
      </c>
      <c r="F1266" s="64" t="s">
        <v>3442</v>
      </c>
    </row>
    <row r="1267" spans="3:6" ht="25.5">
      <c r="C1267" s="64" t="s">
        <v>3443</v>
      </c>
      <c r="D1267" s="64" t="s">
        <v>3443</v>
      </c>
      <c r="E1267" s="64" t="s">
        <v>3444</v>
      </c>
      <c r="F1267" s="64" t="s">
        <v>3445</v>
      </c>
    </row>
    <row r="1268" spans="3:6" ht="25.5">
      <c r="C1268" s="64" t="s">
        <v>3446</v>
      </c>
      <c r="D1268" s="64" t="s">
        <v>3446</v>
      </c>
      <c r="E1268" s="64" t="s">
        <v>3447</v>
      </c>
      <c r="F1268" s="64" t="s">
        <v>3448</v>
      </c>
    </row>
    <row r="1269" spans="3:6">
      <c r="C1269" s="64" t="s">
        <v>3449</v>
      </c>
      <c r="D1269" s="64" t="s">
        <v>3449</v>
      </c>
      <c r="E1269" s="64" t="s">
        <v>3450</v>
      </c>
      <c r="F1269" s="64" t="s">
        <v>3451</v>
      </c>
    </row>
    <row r="1270" spans="3:6" ht="25.5">
      <c r="C1270" s="64" t="s">
        <v>3452</v>
      </c>
      <c r="D1270" s="64" t="s">
        <v>3452</v>
      </c>
      <c r="E1270" s="64" t="s">
        <v>3453</v>
      </c>
      <c r="F1270" s="64" t="s">
        <v>3454</v>
      </c>
    </row>
    <row r="1271" spans="3:6" ht="25.5">
      <c r="C1271" s="64" t="s">
        <v>3455</v>
      </c>
      <c r="D1271" s="64" t="s">
        <v>3455</v>
      </c>
      <c r="E1271" s="64" t="s">
        <v>3456</v>
      </c>
      <c r="F1271" s="64" t="s">
        <v>3457</v>
      </c>
    </row>
    <row r="1272" spans="3:6" ht="25.5">
      <c r="C1272" s="64" t="s">
        <v>3458</v>
      </c>
      <c r="D1272" s="64" t="s">
        <v>3458</v>
      </c>
      <c r="E1272" s="64" t="s">
        <v>3459</v>
      </c>
      <c r="F1272" s="64" t="s">
        <v>3460</v>
      </c>
    </row>
    <row r="1273" spans="3:6">
      <c r="C1273" s="64" t="s">
        <v>3461</v>
      </c>
      <c r="D1273" s="64" t="s">
        <v>3461</v>
      </c>
      <c r="E1273" s="64" t="s">
        <v>3461</v>
      </c>
      <c r="F1273" s="64" t="s">
        <v>3461</v>
      </c>
    </row>
    <row r="1274" spans="3:6" ht="25.5">
      <c r="C1274" s="64" t="s">
        <v>3462</v>
      </c>
      <c r="D1274" s="64" t="s">
        <v>3463</v>
      </c>
      <c r="E1274" s="64" t="s">
        <v>3464</v>
      </c>
      <c r="F1274" s="64" t="s">
        <v>3465</v>
      </c>
    </row>
    <row r="1275" spans="3:6" ht="25.5">
      <c r="C1275" s="64" t="s">
        <v>3466</v>
      </c>
      <c r="D1275" s="64" t="s">
        <v>3467</v>
      </c>
      <c r="E1275" s="64" t="s">
        <v>3468</v>
      </c>
      <c r="F1275" s="64" t="s">
        <v>3469</v>
      </c>
    </row>
    <row r="1276" spans="3:6" ht="25.5">
      <c r="C1276" s="64" t="s">
        <v>3470</v>
      </c>
      <c r="D1276" s="64" t="s">
        <v>3471</v>
      </c>
      <c r="E1276" s="64" t="s">
        <v>3472</v>
      </c>
      <c r="F1276" s="64" t="s">
        <v>3473</v>
      </c>
    </row>
    <row r="1277" spans="3:6" ht="25.5">
      <c r="C1277" s="64" t="s">
        <v>3474</v>
      </c>
      <c r="D1277" s="64" t="s">
        <v>3475</v>
      </c>
      <c r="E1277" s="64" t="s">
        <v>3476</v>
      </c>
      <c r="F1277" s="64" t="s">
        <v>3477</v>
      </c>
    </row>
    <row r="1278" spans="3:6">
      <c r="C1278" s="20" t="s">
        <v>3478</v>
      </c>
      <c r="D1278" s="20" t="s">
        <v>3478</v>
      </c>
      <c r="E1278" s="20" t="s">
        <v>3479</v>
      </c>
      <c r="F1278" s="20" t="s">
        <v>3480</v>
      </c>
    </row>
    <row r="1279" spans="3:6">
      <c r="C1279" s="64" t="s">
        <v>3481</v>
      </c>
      <c r="D1279" s="64" t="s">
        <v>3481</v>
      </c>
      <c r="E1279" s="64" t="s">
        <v>3482</v>
      </c>
      <c r="F1279" s="64" t="s">
        <v>3483</v>
      </c>
    </row>
    <row r="1280" spans="3:6">
      <c r="C1280" s="64" t="s">
        <v>3484</v>
      </c>
      <c r="D1280" s="64" t="s">
        <v>3484</v>
      </c>
      <c r="E1280" s="64" t="s">
        <v>3485</v>
      </c>
      <c r="F1280" s="64" t="s">
        <v>3486</v>
      </c>
    </row>
    <row r="1281" spans="3:6">
      <c r="C1281" s="64" t="s">
        <v>3487</v>
      </c>
      <c r="D1281" s="64" t="s">
        <v>3487</v>
      </c>
      <c r="E1281" s="64" t="s">
        <v>3488</v>
      </c>
      <c r="F1281" s="64" t="s">
        <v>3489</v>
      </c>
    </row>
    <row r="1282" spans="3:6">
      <c r="C1282" s="64" t="s">
        <v>3490</v>
      </c>
      <c r="D1282" s="64" t="s">
        <v>3490</v>
      </c>
      <c r="E1282" s="64" t="s">
        <v>3491</v>
      </c>
      <c r="F1282" s="64" t="s">
        <v>3492</v>
      </c>
    </row>
    <row r="1283" spans="3:6">
      <c r="C1283" s="64" t="s">
        <v>3493</v>
      </c>
      <c r="D1283" s="64" t="s">
        <v>3493</v>
      </c>
      <c r="E1283" s="64" t="s">
        <v>3494</v>
      </c>
      <c r="F1283" s="64" t="s">
        <v>3495</v>
      </c>
    </row>
    <row r="1284" spans="3:6">
      <c r="C1284" s="401" t="s">
        <v>3496</v>
      </c>
      <c r="D1284" s="401" t="s">
        <v>3496</v>
      </c>
      <c r="E1284" s="401" t="s">
        <v>3497</v>
      </c>
      <c r="F1284" s="64" t="s">
        <v>3498</v>
      </c>
    </row>
    <row r="1285" spans="3:6">
      <c r="C1285" s="59" t="s">
        <v>3499</v>
      </c>
      <c r="D1285" s="59" t="s">
        <v>3500</v>
      </c>
      <c r="E1285" s="8" t="s">
        <v>3501</v>
      </c>
      <c r="F1285" s="182" t="s">
        <v>1957</v>
      </c>
    </row>
    <row r="1286" spans="3:6">
      <c r="C1286" s="59" t="s">
        <v>3502</v>
      </c>
      <c r="D1286" s="59" t="s">
        <v>3503</v>
      </c>
      <c r="E1286" s="8" t="s">
        <v>3504</v>
      </c>
      <c r="F1286" s="182" t="s">
        <v>1965</v>
      </c>
    </row>
    <row r="1287" spans="3:6">
      <c r="C1287" s="64" t="s">
        <v>3505</v>
      </c>
      <c r="D1287" s="64" t="s">
        <v>3505</v>
      </c>
      <c r="E1287" s="64" t="s">
        <v>3506</v>
      </c>
      <c r="F1287" s="64" t="s">
        <v>1968</v>
      </c>
    </row>
    <row r="1288" spans="3:6">
      <c r="C1288" s="64" t="s">
        <v>1972</v>
      </c>
      <c r="D1288" s="64" t="s">
        <v>1972</v>
      </c>
      <c r="E1288" s="64" t="s">
        <v>1973</v>
      </c>
      <c r="F1288" s="64" t="s">
        <v>1974</v>
      </c>
    </row>
    <row r="1289" spans="3:6">
      <c r="C1289" s="64" t="s">
        <v>1990</v>
      </c>
      <c r="D1289" s="64" t="s">
        <v>1990</v>
      </c>
      <c r="E1289" s="64" t="s">
        <v>1991</v>
      </c>
      <c r="F1289" s="64" t="s">
        <v>1992</v>
      </c>
    </row>
    <row r="1290" spans="3:6">
      <c r="C1290" s="64" t="s">
        <v>2008</v>
      </c>
      <c r="D1290" s="64" t="s">
        <v>2008</v>
      </c>
      <c r="E1290" s="64" t="s">
        <v>2009</v>
      </c>
      <c r="F1290" s="64" t="s">
        <v>2010</v>
      </c>
    </row>
    <row r="1291" spans="3:6" ht="25.5">
      <c r="C1291" s="64" t="s">
        <v>2026</v>
      </c>
      <c r="D1291" s="64" t="s">
        <v>2026</v>
      </c>
      <c r="E1291" s="64" t="s">
        <v>2027</v>
      </c>
      <c r="F1291" s="64" t="s">
        <v>2028</v>
      </c>
    </row>
    <row r="1292" spans="3:6" ht="25.5">
      <c r="C1292" s="64" t="s">
        <v>2045</v>
      </c>
      <c r="D1292" s="64" t="s">
        <v>2045</v>
      </c>
      <c r="E1292" s="64" t="s">
        <v>2046</v>
      </c>
      <c r="F1292" s="64" t="s">
        <v>2047</v>
      </c>
    </row>
    <row r="1293" spans="3:6">
      <c r="C1293" s="8" t="s">
        <v>3507</v>
      </c>
      <c r="D1293" s="8" t="s">
        <v>3507</v>
      </c>
      <c r="E1293" s="8" t="s">
        <v>3508</v>
      </c>
      <c r="F1293" s="8" t="s">
        <v>2053</v>
      </c>
    </row>
    <row r="1294" spans="3:6">
      <c r="C1294" s="64" t="s">
        <v>2065</v>
      </c>
      <c r="D1294" s="64" t="s">
        <v>2065</v>
      </c>
      <c r="E1294" s="64" t="s">
        <v>2066</v>
      </c>
      <c r="F1294" s="64" t="s">
        <v>2067</v>
      </c>
    </row>
    <row r="1295" spans="3:6" ht="38.25">
      <c r="C1295" s="64" t="s">
        <v>3509</v>
      </c>
      <c r="D1295" s="64" t="s">
        <v>2080</v>
      </c>
      <c r="E1295" s="64" t="s">
        <v>2081</v>
      </c>
      <c r="F1295" s="64" t="s">
        <v>2082</v>
      </c>
    </row>
    <row r="1296" spans="3:6">
      <c r="C1296" s="8" t="s">
        <v>3510</v>
      </c>
      <c r="D1296" s="8" t="s">
        <v>3510</v>
      </c>
      <c r="E1296" s="8" t="s">
        <v>3511</v>
      </c>
      <c r="F1296" s="8" t="s">
        <v>2100</v>
      </c>
    </row>
    <row r="1297" spans="3:6">
      <c r="C1297" s="64" t="s">
        <v>3512</v>
      </c>
      <c r="D1297" s="64" t="s">
        <v>3512</v>
      </c>
      <c r="E1297" s="64" t="s">
        <v>3513</v>
      </c>
      <c r="F1297" s="64" t="s">
        <v>2124</v>
      </c>
    </row>
    <row r="1298" spans="3:6">
      <c r="C1298" s="64" t="s">
        <v>3514</v>
      </c>
      <c r="D1298" s="64" t="s">
        <v>3514</v>
      </c>
      <c r="E1298" s="64" t="s">
        <v>3515</v>
      </c>
      <c r="F1298" s="64" t="s">
        <v>2145</v>
      </c>
    </row>
    <row r="1299" spans="3:6" ht="25.5">
      <c r="C1299" s="64" t="s">
        <v>3516</v>
      </c>
      <c r="D1299" s="64" t="s">
        <v>3516</v>
      </c>
      <c r="E1299" s="64" t="s">
        <v>3517</v>
      </c>
      <c r="F1299" s="64" t="s">
        <v>3518</v>
      </c>
    </row>
    <row r="1300" spans="3:6">
      <c r="C1300" s="20" t="s">
        <v>3519</v>
      </c>
      <c r="D1300" s="20" t="s">
        <v>3519</v>
      </c>
      <c r="E1300" s="20" t="s">
        <v>3520</v>
      </c>
      <c r="F1300" s="20" t="s">
        <v>3521</v>
      </c>
    </row>
    <row r="1301" spans="3:6" ht="25.5">
      <c r="C1301" s="64" t="s">
        <v>3522</v>
      </c>
      <c r="D1301" s="64" t="s">
        <v>3522</v>
      </c>
      <c r="E1301" s="64" t="s">
        <v>3523</v>
      </c>
      <c r="F1301" s="64" t="s">
        <v>3524</v>
      </c>
    </row>
    <row r="1302" spans="3:6" ht="38.25">
      <c r="C1302" s="64" t="s">
        <v>3525</v>
      </c>
      <c r="D1302" s="64" t="s">
        <v>3525</v>
      </c>
      <c r="E1302" s="64" t="s">
        <v>3526</v>
      </c>
      <c r="F1302" s="64" t="s">
        <v>3527</v>
      </c>
    </row>
    <row r="1303" spans="3:6" ht="38.25">
      <c r="C1303" s="64" t="s">
        <v>3528</v>
      </c>
      <c r="D1303" s="64" t="s">
        <v>3528</v>
      </c>
      <c r="E1303" s="64" t="s">
        <v>3529</v>
      </c>
      <c r="F1303" s="64" t="s">
        <v>3530</v>
      </c>
    </row>
    <row r="1304" spans="3:6" ht="51">
      <c r="C1304" s="64" t="s">
        <v>3531</v>
      </c>
      <c r="D1304" s="64" t="s">
        <v>3532</v>
      </c>
      <c r="E1304" s="64" t="s">
        <v>3533</v>
      </c>
      <c r="F1304" s="64" t="s">
        <v>3534</v>
      </c>
    </row>
    <row r="1305" spans="3:6" ht="51">
      <c r="C1305" s="64" t="s">
        <v>3535</v>
      </c>
      <c r="D1305" s="64" t="s">
        <v>3535</v>
      </c>
      <c r="E1305" s="64" t="s">
        <v>3536</v>
      </c>
      <c r="F1305" s="64" t="s">
        <v>3537</v>
      </c>
    </row>
    <row r="1306" spans="3:6" ht="38.25">
      <c r="C1306" s="64" t="s">
        <v>3538</v>
      </c>
      <c r="D1306" s="64" t="s">
        <v>3538</v>
      </c>
      <c r="E1306" s="64" t="s">
        <v>3539</v>
      </c>
      <c r="F1306" s="64" t="s">
        <v>3540</v>
      </c>
    </row>
    <row r="1307" spans="3:6" ht="51">
      <c r="C1307" s="64" t="s">
        <v>3541</v>
      </c>
      <c r="D1307" s="64" t="s">
        <v>3541</v>
      </c>
      <c r="E1307" s="64" t="s">
        <v>3542</v>
      </c>
      <c r="F1307" s="64" t="s">
        <v>3543</v>
      </c>
    </row>
    <row r="1308" spans="3:6">
      <c r="C1308" s="315" t="s">
        <v>3544</v>
      </c>
      <c r="D1308" s="315" t="s">
        <v>3545</v>
      </c>
      <c r="E1308" s="315" t="s">
        <v>3546</v>
      </c>
      <c r="F1308" s="315" t="s">
        <v>3547</v>
      </c>
    </row>
    <row r="1309" spans="3:6">
      <c r="C1309" s="64" t="s">
        <v>3548</v>
      </c>
      <c r="D1309" s="64" t="s">
        <v>3548</v>
      </c>
      <c r="E1309" s="64" t="s">
        <v>1973</v>
      </c>
      <c r="F1309" s="64" t="s">
        <v>1974</v>
      </c>
    </row>
    <row r="1310" spans="3:6" ht="25.5">
      <c r="C1310" s="64" t="s">
        <v>3549</v>
      </c>
      <c r="D1310" s="64" t="s">
        <v>3549</v>
      </c>
      <c r="E1310" s="64" t="s">
        <v>3550</v>
      </c>
      <c r="F1310" s="64" t="s">
        <v>3551</v>
      </c>
    </row>
    <row r="1311" spans="3:6">
      <c r="C1311" s="64" t="s">
        <v>3552</v>
      </c>
      <c r="D1311" s="64" t="s">
        <v>3552</v>
      </c>
      <c r="E1311" s="64" t="s">
        <v>3553</v>
      </c>
      <c r="F1311" s="64" t="s">
        <v>3554</v>
      </c>
    </row>
    <row r="1312" spans="3:6" ht="25.5">
      <c r="C1312" s="64" t="s">
        <v>3555</v>
      </c>
      <c r="D1312" s="64" t="s">
        <v>3556</v>
      </c>
      <c r="E1312" s="64" t="s">
        <v>3557</v>
      </c>
      <c r="F1312" s="64" t="s">
        <v>3558</v>
      </c>
    </row>
    <row r="1313" spans="3:6">
      <c r="C1313" s="64" t="s">
        <v>3559</v>
      </c>
      <c r="D1313" s="64" t="s">
        <v>3559</v>
      </c>
      <c r="E1313" s="64" t="s">
        <v>3560</v>
      </c>
      <c r="F1313" s="64" t="s">
        <v>2053</v>
      </c>
    </row>
    <row r="1314" spans="3:6" ht="25.5">
      <c r="C1314" s="64" t="s">
        <v>3561</v>
      </c>
      <c r="D1314" s="64" t="s">
        <v>3561</v>
      </c>
      <c r="E1314" s="64" t="s">
        <v>3562</v>
      </c>
      <c r="F1314" s="64" t="s">
        <v>3563</v>
      </c>
    </row>
    <row r="1315" spans="3:6" ht="25.5">
      <c r="C1315" s="64" t="s">
        <v>3564</v>
      </c>
      <c r="D1315" s="64" t="s">
        <v>3565</v>
      </c>
      <c r="E1315" s="64" t="s">
        <v>3566</v>
      </c>
      <c r="F1315" s="64" t="s">
        <v>3567</v>
      </c>
    </row>
    <row r="1316" spans="3:6">
      <c r="C1316" s="64" t="s">
        <v>3568</v>
      </c>
      <c r="D1316" s="64" t="s">
        <v>3568</v>
      </c>
      <c r="E1316" s="64" t="s">
        <v>3569</v>
      </c>
      <c r="F1316" s="64" t="s">
        <v>2359</v>
      </c>
    </row>
    <row r="1317" spans="3:6">
      <c r="C1317" s="64" t="s">
        <v>3570</v>
      </c>
      <c r="D1317" s="64" t="s">
        <v>3571</v>
      </c>
      <c r="E1317" s="64" t="s">
        <v>3572</v>
      </c>
      <c r="F1317" s="64" t="s">
        <v>3570</v>
      </c>
    </row>
    <row r="1318" spans="3:6">
      <c r="C1318" s="64" t="s">
        <v>3573</v>
      </c>
      <c r="D1318" s="64" t="s">
        <v>3573</v>
      </c>
      <c r="E1318" s="315" t="s">
        <v>3574</v>
      </c>
      <c r="F1318" s="64" t="s">
        <v>3575</v>
      </c>
    </row>
    <row r="1319" spans="3:6">
      <c r="C1319" s="64" t="s">
        <v>3576</v>
      </c>
      <c r="D1319" s="64" t="s">
        <v>3576</v>
      </c>
      <c r="E1319" s="64" t="s">
        <v>2370</v>
      </c>
      <c r="F1319" s="64" t="s">
        <v>2371</v>
      </c>
    </row>
    <row r="1320" spans="3:6">
      <c r="C1320" s="64" t="s">
        <v>3577</v>
      </c>
      <c r="D1320" s="64" t="s">
        <v>3577</v>
      </c>
      <c r="E1320" s="64" t="s">
        <v>3578</v>
      </c>
      <c r="F1320" s="64" t="s">
        <v>3579</v>
      </c>
    </row>
    <row r="1321" spans="3:6" ht="25.5">
      <c r="C1321" s="64" t="s">
        <v>3580</v>
      </c>
      <c r="D1321" s="64" t="s">
        <v>3580</v>
      </c>
      <c r="E1321" s="64" t="s">
        <v>3581</v>
      </c>
      <c r="F1321" s="64" t="s">
        <v>3582</v>
      </c>
    </row>
    <row r="1322" spans="3:6">
      <c r="C1322" s="64" t="s">
        <v>3583</v>
      </c>
      <c r="D1322" s="64" t="s">
        <v>3583</v>
      </c>
      <c r="E1322" s="64" t="s">
        <v>3584</v>
      </c>
      <c r="F1322" s="64" t="s">
        <v>3585</v>
      </c>
    </row>
    <row r="1323" spans="3:6">
      <c r="C1323" s="64" t="s">
        <v>3586</v>
      </c>
      <c r="D1323" s="64" t="s">
        <v>3586</v>
      </c>
      <c r="E1323" s="64" t="s">
        <v>3482</v>
      </c>
      <c r="F1323" s="64" t="s">
        <v>3483</v>
      </c>
    </row>
    <row r="1333" spans="3:6" ht="35.25" customHeight="1">
      <c r="C1333" s="107" t="s">
        <v>3587</v>
      </c>
      <c r="E1333" s="64"/>
    </row>
    <row r="1334" spans="3:6">
      <c r="E1334" s="64"/>
    </row>
    <row r="1335" spans="3:6" ht="63.75">
      <c r="C1335" s="64">
        <v>15.5</v>
      </c>
      <c r="D1335" s="169" t="s">
        <v>3588</v>
      </c>
      <c r="E1335" s="169" t="s">
        <v>3589</v>
      </c>
      <c r="F1335" s="169" t="s">
        <v>149</v>
      </c>
    </row>
    <row r="1336" spans="3:6" ht="140.25">
      <c r="C1336" s="64">
        <v>17.5</v>
      </c>
      <c r="D1336" s="169" t="s">
        <v>3590</v>
      </c>
      <c r="E1336" s="169" t="s">
        <v>3591</v>
      </c>
      <c r="F1336" s="253" t="s">
        <v>3592</v>
      </c>
    </row>
    <row r="1337" spans="3:6">
      <c r="C1337" s="64">
        <v>167.1</v>
      </c>
      <c r="D1337" s="64" t="s">
        <v>3593</v>
      </c>
      <c r="E1337" s="64" t="s">
        <v>3594</v>
      </c>
      <c r="F1337" s="64" t="s">
        <v>3595</v>
      </c>
    </row>
    <row r="1338" spans="3:6">
      <c r="C1338" s="64">
        <v>167.2</v>
      </c>
      <c r="D1338" s="64" t="s">
        <v>3596</v>
      </c>
      <c r="E1338" s="64" t="s">
        <v>3597</v>
      </c>
      <c r="F1338" s="64" t="s">
        <v>3597</v>
      </c>
    </row>
    <row r="1339" spans="3:6">
      <c r="C1339" s="64">
        <v>167.3</v>
      </c>
      <c r="D1339" s="64" t="s">
        <v>3598</v>
      </c>
      <c r="E1339" s="64" t="s">
        <v>3599</v>
      </c>
      <c r="F1339" s="64" t="s">
        <v>3600</v>
      </c>
    </row>
    <row r="1340" spans="3:6" ht="25.5">
      <c r="C1340" s="64">
        <v>167.4</v>
      </c>
      <c r="D1340" s="64" t="s">
        <v>3601</v>
      </c>
      <c r="E1340" s="64" t="s">
        <v>3602</v>
      </c>
      <c r="F1340" s="283" t="s">
        <v>3603</v>
      </c>
    </row>
    <row r="1341" spans="3:6">
      <c r="C1341" s="64">
        <v>167.5</v>
      </c>
      <c r="D1341" s="64" t="s">
        <v>3604</v>
      </c>
      <c r="E1341" s="64" t="s">
        <v>3605</v>
      </c>
      <c r="F1341" s="64" t="s">
        <v>3606</v>
      </c>
    </row>
    <row r="1342" spans="3:6">
      <c r="C1342" s="64">
        <v>167.6</v>
      </c>
      <c r="D1342" s="64" t="s">
        <v>3607</v>
      </c>
      <c r="E1342" s="64" t="s">
        <v>3607</v>
      </c>
    </row>
    <row r="1343" spans="3:6" ht="25.5">
      <c r="C1343" s="64">
        <v>242.5</v>
      </c>
      <c r="D1343" s="64" t="s">
        <v>3608</v>
      </c>
      <c r="E1343" s="64" t="s">
        <v>3609</v>
      </c>
      <c r="F1343" s="169" t="s">
        <v>3610</v>
      </c>
    </row>
    <row r="1344" spans="3:6">
      <c r="C1344" s="64">
        <v>269.10000000000002</v>
      </c>
      <c r="D1344" s="64" t="s">
        <v>3611</v>
      </c>
      <c r="E1344" s="312" t="s">
        <v>3612</v>
      </c>
      <c r="F1344" s="64" t="s">
        <v>3613</v>
      </c>
    </row>
    <row r="1345" spans="3:6">
      <c r="C1345" s="64">
        <v>269.2</v>
      </c>
      <c r="D1345" s="64" t="s">
        <v>3614</v>
      </c>
      <c r="E1345" s="312" t="s">
        <v>3615</v>
      </c>
      <c r="F1345" s="64" t="s">
        <v>3616</v>
      </c>
    </row>
    <row r="1346" spans="3:6">
      <c r="C1346" s="64">
        <v>269.3</v>
      </c>
      <c r="D1346" s="64" t="s">
        <v>3617</v>
      </c>
      <c r="E1346" s="64" t="s">
        <v>3618</v>
      </c>
      <c r="F1346" s="64" t="s">
        <v>3619</v>
      </c>
    </row>
    <row r="1347" spans="3:6" ht="140.25">
      <c r="C1347" s="64">
        <v>269.39999999999998</v>
      </c>
      <c r="D1347" s="64" t="s">
        <v>3620</v>
      </c>
      <c r="E1347" s="64" t="s">
        <v>3621</v>
      </c>
      <c r="F1347" s="64" t="s">
        <v>3622</v>
      </c>
    </row>
    <row r="1348" spans="3:6">
      <c r="C1348" s="64">
        <v>281.5</v>
      </c>
      <c r="D1348" s="64" t="s">
        <v>3623</v>
      </c>
      <c r="E1348" s="64" t="s">
        <v>3624</v>
      </c>
      <c r="F1348" s="64" t="s">
        <v>3625</v>
      </c>
    </row>
    <row r="1349" spans="3:6">
      <c r="C1349" s="64">
        <v>325.39999999999998</v>
      </c>
      <c r="D1349" s="64" t="s">
        <v>3626</v>
      </c>
      <c r="E1349" s="64"/>
    </row>
    <row r="1350" spans="3:6">
      <c r="C1350" s="64">
        <v>325.5</v>
      </c>
      <c r="D1350" s="64" t="s">
        <v>3627</v>
      </c>
      <c r="E1350" s="64"/>
    </row>
    <row r="1351" spans="3:6" ht="19.5">
      <c r="C1351" s="73">
        <v>328.5</v>
      </c>
      <c r="D1351" s="64" t="s">
        <v>3628</v>
      </c>
      <c r="E1351" s="64" t="s">
        <v>3629</v>
      </c>
      <c r="F1351" s="64" t="s">
        <v>3630</v>
      </c>
    </row>
    <row r="1352" spans="3:6" ht="25.5">
      <c r="C1352" s="64">
        <v>394.1</v>
      </c>
      <c r="D1352" s="283" t="s">
        <v>3631</v>
      </c>
      <c r="E1352" s="283" t="s">
        <v>3632</v>
      </c>
      <c r="F1352" s="64" t="s">
        <v>3633</v>
      </c>
    </row>
    <row r="1353" spans="3:6" ht="25.5">
      <c r="C1353" s="64">
        <v>394.11</v>
      </c>
      <c r="D1353" s="283" t="s">
        <v>3634</v>
      </c>
      <c r="E1353" s="283" t="s">
        <v>3635</v>
      </c>
      <c r="F1353" s="64" t="s">
        <v>3636</v>
      </c>
    </row>
    <row r="1354" spans="3:6" ht="25.5">
      <c r="C1354" s="64">
        <v>394.12</v>
      </c>
      <c r="D1354" s="283" t="s">
        <v>3637</v>
      </c>
      <c r="E1354" s="283" t="s">
        <v>3632</v>
      </c>
      <c r="F1354" s="64" t="s">
        <v>3638</v>
      </c>
    </row>
    <row r="1355" spans="3:6" ht="25.5">
      <c r="C1355" s="64">
        <v>394.2</v>
      </c>
      <c r="D1355" s="283" t="s">
        <v>3639</v>
      </c>
      <c r="E1355" s="64" t="s">
        <v>3640</v>
      </c>
      <c r="F1355" s="283" t="s">
        <v>3641</v>
      </c>
    </row>
    <row r="1356" spans="3:6" ht="25.5">
      <c r="C1356" s="64">
        <v>394.3</v>
      </c>
      <c r="D1356" s="283" t="s">
        <v>3642</v>
      </c>
      <c r="E1356" s="64" t="s">
        <v>3643</v>
      </c>
      <c r="F1356" s="283" t="s">
        <v>3644</v>
      </c>
    </row>
    <row r="1357" spans="3:6">
      <c r="C1357" s="64">
        <v>463.1</v>
      </c>
      <c r="D1357" s="64" t="s">
        <v>684</v>
      </c>
      <c r="E1357" s="64" t="s">
        <v>2054</v>
      </c>
      <c r="F1357" s="64" t="s">
        <v>3645</v>
      </c>
    </row>
    <row r="1358" spans="3:6">
      <c r="C1358" s="64">
        <v>463.2</v>
      </c>
      <c r="D1358" s="64" t="s">
        <v>682</v>
      </c>
      <c r="E1358" s="64" t="s">
        <v>2336</v>
      </c>
      <c r="F1358" s="64" t="s">
        <v>3646</v>
      </c>
    </row>
    <row r="1359" spans="3:6">
      <c r="C1359" s="64">
        <v>465.11</v>
      </c>
      <c r="D1359" s="64" t="s">
        <v>3647</v>
      </c>
      <c r="E1359" s="64"/>
    </row>
    <row r="1360" spans="3:6">
      <c r="C1360" s="64">
        <v>465.12</v>
      </c>
      <c r="D1360" s="64" t="s">
        <v>3648</v>
      </c>
      <c r="E1360" s="169" t="s">
        <v>3649</v>
      </c>
      <c r="F1360" s="64" t="s">
        <v>3650</v>
      </c>
    </row>
    <row r="1361" spans="3:6">
      <c r="C1361" s="64">
        <v>465.13</v>
      </c>
      <c r="E1361" s="64"/>
    </row>
    <row r="1362" spans="3:6">
      <c r="C1362" s="64">
        <v>465.14</v>
      </c>
      <c r="E1362" s="64"/>
    </row>
    <row r="1363" spans="3:6" ht="25.5">
      <c r="C1363" s="64">
        <v>402.1</v>
      </c>
      <c r="D1363" s="169" t="s">
        <v>3651</v>
      </c>
      <c r="E1363" s="169" t="s">
        <v>3652</v>
      </c>
      <c r="F1363" s="169" t="s">
        <v>3653</v>
      </c>
    </row>
    <row r="1364" spans="3:6" ht="114.75">
      <c r="C1364" s="64">
        <v>402.2</v>
      </c>
      <c r="D1364" s="64" t="s">
        <v>3654</v>
      </c>
      <c r="E1364" s="64" t="s">
        <v>3655</v>
      </c>
      <c r="F1364" s="64" t="s">
        <v>3656</v>
      </c>
    </row>
    <row r="1365" spans="3:6">
      <c r="C1365" s="64">
        <v>426.05</v>
      </c>
      <c r="D1365" s="64" t="s">
        <v>3657</v>
      </c>
      <c r="E1365" s="64" t="s">
        <v>3658</v>
      </c>
      <c r="F1365" s="64" t="s">
        <v>3659</v>
      </c>
    </row>
    <row r="1366" spans="3:6">
      <c r="C1366" s="64">
        <v>426.1</v>
      </c>
      <c r="D1366" s="64" t="s">
        <v>3660</v>
      </c>
      <c r="E1366" s="64" t="s">
        <v>3661</v>
      </c>
      <c r="F1366" s="64" t="s">
        <v>3662</v>
      </c>
    </row>
    <row r="1367" spans="3:6">
      <c r="C1367" s="64">
        <v>426.2</v>
      </c>
      <c r="D1367" s="64" t="s">
        <v>3663</v>
      </c>
      <c r="E1367" s="64" t="s">
        <v>3664</v>
      </c>
      <c r="F1367" s="64" t="s">
        <v>3665</v>
      </c>
    </row>
    <row r="1368" spans="3:6">
      <c r="C1368" s="64">
        <v>426.3</v>
      </c>
      <c r="D1368" s="64" t="s">
        <v>116</v>
      </c>
      <c r="E1368" s="64" t="s">
        <v>3666</v>
      </c>
      <c r="F1368" s="64" t="s">
        <v>3667</v>
      </c>
    </row>
    <row r="1369" spans="3:6">
      <c r="C1369" s="64">
        <v>464.1</v>
      </c>
      <c r="D1369" s="64" t="str">
        <f t="shared" ref="D1369:F1372" si="1">D330</f>
        <v>Floating rate</v>
      </c>
      <c r="E1369" s="64" t="str">
        <f t="shared" si="1"/>
        <v>Variabel verzinslich</v>
      </c>
      <c r="F1369" s="64" t="str">
        <f t="shared" si="1"/>
        <v>Variable</v>
      </c>
    </row>
    <row r="1370" spans="3:6">
      <c r="C1370" s="64">
        <v>464.2</v>
      </c>
      <c r="D1370" s="64" t="str">
        <f t="shared" si="1"/>
        <v>Fixed rate with reset &lt;2 years</v>
      </c>
      <c r="E1370" s="64" t="str">
        <f t="shared" si="1"/>
        <v>Fest verzinslich; Zinsanpassung nach &lt;2 Jahren</v>
      </c>
      <c r="F1370" s="64" t="str">
        <f>F331</f>
        <v>Fijo cambiando a variable &lt; 2 años</v>
      </c>
    </row>
    <row r="1371" spans="3:6" ht="25.5">
      <c r="C1371" s="64">
        <v>464.3</v>
      </c>
      <c r="D1371" s="64" t="str">
        <f t="shared" si="1"/>
        <v>Fixed rate with reset  ≥2 but &lt; 5 years</v>
      </c>
      <c r="E1371" s="64" t="str">
        <f t="shared" si="1"/>
        <v>Fest verzinslich; Zinsanpassung nach &gt;2 aber &lt; 5 Jahren</v>
      </c>
      <c r="F1371" s="64" t="str">
        <f>F332</f>
        <v>Fijo cambiando a variable ≥ 2 años y &lt; 5años</v>
      </c>
    </row>
    <row r="1372" spans="3:6">
      <c r="C1372" s="64">
        <v>464.4</v>
      </c>
      <c r="D1372" s="64" t="str">
        <f t="shared" si="1"/>
        <v>Fixed rate with reset ≥5 years</v>
      </c>
      <c r="E1372" s="64" t="str">
        <f t="shared" si="1"/>
        <v>Fest verzinslich; Zinsanpassung nach &gt;5 Jahren</v>
      </c>
      <c r="F1372" s="64" t="str">
        <f>F333</f>
        <v>Fijo o fijo con variable a ≥ 5 años</v>
      </c>
    </row>
    <row r="1373" spans="3:6">
      <c r="E1373" s="64"/>
    </row>
    <row r="1374" spans="3:6" ht="19.5">
      <c r="C1374" s="64">
        <v>490.1</v>
      </c>
      <c r="D1374" s="95" t="s">
        <v>3668</v>
      </c>
      <c r="E1374" s="95" t="s">
        <v>3669</v>
      </c>
      <c r="F1374" s="95" t="s">
        <v>3670</v>
      </c>
    </row>
    <row r="1375" spans="3:6">
      <c r="C1375" s="64">
        <v>490.2</v>
      </c>
      <c r="D1375" s="150" t="s">
        <v>1969</v>
      </c>
      <c r="E1375" s="321" t="s">
        <v>1970</v>
      </c>
      <c r="F1375" s="160" t="s">
        <v>1971</v>
      </c>
    </row>
    <row r="1376" spans="3:6">
      <c r="E1376" s="64"/>
    </row>
    <row r="1377" spans="3:6" ht="19.5">
      <c r="C1377" s="64">
        <v>491.1</v>
      </c>
      <c r="D1377" s="95" t="s">
        <v>3671</v>
      </c>
      <c r="E1377" s="95" t="s">
        <v>3672</v>
      </c>
      <c r="F1377" s="95" t="s">
        <v>3673</v>
      </c>
    </row>
    <row r="1378" spans="3:6">
      <c r="E1378" s="64"/>
    </row>
    <row r="1379" spans="3:6">
      <c r="E1379" s="64"/>
    </row>
    <row r="1380" spans="3:6">
      <c r="C1380" s="64">
        <v>492.1</v>
      </c>
      <c r="D1380" s="190" t="s">
        <v>3674</v>
      </c>
      <c r="E1380" s="64" t="s">
        <v>3675</v>
      </c>
      <c r="F1380" s="190" t="s">
        <v>3676</v>
      </c>
    </row>
    <row r="1381" spans="3:6">
      <c r="C1381" s="64">
        <v>492.2</v>
      </c>
      <c r="D1381" s="189" t="s">
        <v>3677</v>
      </c>
      <c r="E1381" s="64" t="s">
        <v>3678</v>
      </c>
      <c r="F1381" s="189" t="s">
        <v>3679</v>
      </c>
    </row>
    <row r="1382" spans="3:6">
      <c r="C1382" s="64">
        <v>492.3</v>
      </c>
      <c r="D1382" s="189" t="s">
        <v>3680</v>
      </c>
      <c r="E1382" s="64" t="s">
        <v>3681</v>
      </c>
      <c r="F1382" s="189" t="s">
        <v>3682</v>
      </c>
    </row>
    <row r="1383" spans="3:6">
      <c r="C1383" s="64">
        <v>492.4</v>
      </c>
      <c r="D1383" s="189" t="s">
        <v>3683</v>
      </c>
      <c r="E1383" s="64" t="s">
        <v>3684</v>
      </c>
      <c r="F1383" s="189" t="s">
        <v>3685</v>
      </c>
    </row>
    <row r="1384" spans="3:6">
      <c r="C1384" s="64">
        <v>492.5</v>
      </c>
      <c r="D1384" s="189" t="s">
        <v>3686</v>
      </c>
      <c r="E1384" s="64" t="s">
        <v>3687</v>
      </c>
      <c r="F1384" s="189" t="s">
        <v>3688</v>
      </c>
    </row>
    <row r="1385" spans="3:6">
      <c r="E1385" s="64"/>
    </row>
    <row r="1386" spans="3:6">
      <c r="C1386" s="64">
        <v>493.1</v>
      </c>
      <c r="D1386" s="191" t="s">
        <v>3689</v>
      </c>
      <c r="E1386" s="169" t="s">
        <v>3690</v>
      </c>
      <c r="F1386" s="169" t="s">
        <v>3691</v>
      </c>
    </row>
    <row r="1387" spans="3:6" ht="25.5">
      <c r="C1387" s="64">
        <v>493.2</v>
      </c>
      <c r="D1387" s="191" t="s">
        <v>3692</v>
      </c>
      <c r="E1387" s="169" t="s">
        <v>3693</v>
      </c>
      <c r="F1387" s="169" t="s">
        <v>3694</v>
      </c>
    </row>
    <row r="1388" spans="3:6">
      <c r="C1388" s="64">
        <v>493.3</v>
      </c>
      <c r="D1388" s="191" t="s">
        <v>3695</v>
      </c>
      <c r="E1388" s="169" t="s">
        <v>3696</v>
      </c>
      <c r="F1388" s="169" t="s">
        <v>3697</v>
      </c>
    </row>
    <row r="1389" spans="3:6">
      <c r="C1389" s="64">
        <v>493.4</v>
      </c>
      <c r="D1389" s="191" t="s">
        <v>3698</v>
      </c>
      <c r="E1389" s="169" t="s">
        <v>3699</v>
      </c>
      <c r="F1389" s="169" t="s">
        <v>3700</v>
      </c>
    </row>
    <row r="1390" spans="3:6">
      <c r="E1390" s="64"/>
    </row>
    <row r="1391" spans="3:6">
      <c r="C1391" s="64">
        <v>516.1</v>
      </c>
      <c r="D1391" s="64" t="s">
        <v>3701</v>
      </c>
      <c r="E1391" s="64"/>
    </row>
    <row r="1392" spans="3:6">
      <c r="C1392" s="64">
        <v>518.1</v>
      </c>
      <c r="D1392" s="64" t="s">
        <v>3702</v>
      </c>
      <c r="E1392" s="64" t="s">
        <v>3703</v>
      </c>
      <c r="F1392" s="64" t="s">
        <v>3704</v>
      </c>
    </row>
    <row r="1393" spans="3:6" ht="25.5">
      <c r="C1393" s="64">
        <v>519.1</v>
      </c>
      <c r="D1393" s="64" t="s">
        <v>3705</v>
      </c>
      <c r="E1393" s="64" t="s">
        <v>3706</v>
      </c>
      <c r="F1393" s="64" t="s">
        <v>3707</v>
      </c>
    </row>
    <row r="1394" spans="3:6">
      <c r="C1394" s="64">
        <v>520.1</v>
      </c>
      <c r="E1394" s="64"/>
    </row>
    <row r="1395" spans="3:6">
      <c r="C1395" s="64">
        <v>521.1</v>
      </c>
      <c r="E1395" s="64"/>
    </row>
    <row r="1396" spans="3:6">
      <c r="C1396" s="64">
        <v>522.1</v>
      </c>
      <c r="E1396" s="64"/>
    </row>
    <row r="1397" spans="3:6">
      <c r="C1397" s="64">
        <v>524.5</v>
      </c>
      <c r="D1397" s="64" t="s">
        <v>3708</v>
      </c>
      <c r="E1397" s="64" t="s">
        <v>3709</v>
      </c>
      <c r="F1397" s="264" t="s">
        <v>3710</v>
      </c>
    </row>
    <row r="1398" spans="3:6" ht="25.5">
      <c r="C1398" s="64">
        <v>529.1</v>
      </c>
      <c r="D1398" s="64" t="s">
        <v>3711</v>
      </c>
      <c r="E1398" s="283" t="s">
        <v>3712</v>
      </c>
      <c r="F1398" s="64" t="s">
        <v>3713</v>
      </c>
    </row>
    <row r="1399" spans="3:6">
      <c r="C1399" s="64">
        <v>529.20000000000005</v>
      </c>
      <c r="E1399" s="64"/>
    </row>
    <row r="1400" spans="3:6">
      <c r="C1400" s="64">
        <v>529.29999999999995</v>
      </c>
      <c r="E1400" s="64"/>
    </row>
    <row r="1401" spans="3:6">
      <c r="C1401" s="64">
        <v>530.1</v>
      </c>
      <c r="D1401" s="64" t="s">
        <v>3714</v>
      </c>
      <c r="E1401" s="64" t="s">
        <v>3715</v>
      </c>
      <c r="F1401" s="64" t="s">
        <v>3716</v>
      </c>
    </row>
    <row r="1402" spans="3:6" ht="66" customHeight="1">
      <c r="C1402" s="64">
        <v>530.15</v>
      </c>
      <c r="D1402" s="64" t="s">
        <v>3717</v>
      </c>
      <c r="E1402" s="64" t="s">
        <v>3718</v>
      </c>
      <c r="F1402" s="64" t="s">
        <v>3719</v>
      </c>
    </row>
    <row r="1403" spans="3:6" ht="51">
      <c r="C1403" s="64">
        <v>530.20000000000005</v>
      </c>
      <c r="D1403" s="192" t="s">
        <v>3720</v>
      </c>
      <c r="E1403" s="64" t="s">
        <v>3721</v>
      </c>
      <c r="F1403" s="169" t="s">
        <v>3722</v>
      </c>
    </row>
    <row r="1404" spans="3:6" ht="38.25">
      <c r="C1404" s="64">
        <v>530.29999999999995</v>
      </c>
      <c r="D1404" s="278" t="s">
        <v>3723</v>
      </c>
      <c r="E1404" s="64" t="s">
        <v>3724</v>
      </c>
      <c r="F1404" s="169" t="s">
        <v>3725</v>
      </c>
    </row>
    <row r="1405" spans="3:6">
      <c r="C1405" s="64">
        <v>530.4</v>
      </c>
      <c r="D1405" s="192" t="s">
        <v>3726</v>
      </c>
      <c r="E1405" s="64" t="s">
        <v>3727</v>
      </c>
      <c r="F1405" s="169" t="s">
        <v>3728</v>
      </c>
    </row>
    <row r="1406" spans="3:6" ht="25.5">
      <c r="C1406" s="64">
        <v>530.5</v>
      </c>
      <c r="D1406" s="192" t="s">
        <v>3729</v>
      </c>
      <c r="E1406" s="64" t="s">
        <v>3730</v>
      </c>
      <c r="F1406" s="169" t="s">
        <v>3731</v>
      </c>
    </row>
    <row r="1407" spans="3:6" ht="38.25">
      <c r="C1407" s="64">
        <v>530.6</v>
      </c>
      <c r="D1407" s="192" t="s">
        <v>3732</v>
      </c>
      <c r="E1407" s="64" t="s">
        <v>3733</v>
      </c>
      <c r="F1407" s="64" t="s">
        <v>3734</v>
      </c>
    </row>
    <row r="1408" spans="3:6" ht="38.25">
      <c r="C1408" s="64">
        <v>530.70000000000005</v>
      </c>
      <c r="D1408" s="192" t="s">
        <v>3735</v>
      </c>
      <c r="E1408" s="64" t="s">
        <v>3736</v>
      </c>
      <c r="F1408" s="169" t="s">
        <v>3737</v>
      </c>
    </row>
    <row r="1409" spans="3:6" ht="38.25">
      <c r="C1409" s="64">
        <v>530.79999999999995</v>
      </c>
      <c r="D1409" s="192" t="s">
        <v>3738</v>
      </c>
      <c r="E1409" s="169" t="s">
        <v>1632</v>
      </c>
      <c r="F1409" s="64" t="s">
        <v>3739</v>
      </c>
    </row>
    <row r="1410" spans="3:6" ht="25.5">
      <c r="C1410" s="64">
        <v>530.9</v>
      </c>
      <c r="D1410" s="192" t="s">
        <v>3740</v>
      </c>
      <c r="E1410" s="64" t="s">
        <v>3741</v>
      </c>
      <c r="F1410" s="64" t="s">
        <v>3742</v>
      </c>
    </row>
    <row r="1411" spans="3:6" ht="25.5">
      <c r="C1411" s="64">
        <v>530.95000000000005</v>
      </c>
      <c r="D1411" s="64" t="s">
        <v>3743</v>
      </c>
      <c r="E1411" s="64" t="s">
        <v>3744</v>
      </c>
      <c r="F1411" s="64" t="s">
        <v>3745</v>
      </c>
    </row>
    <row r="1412" spans="3:6" ht="25.5">
      <c r="C1412" s="64">
        <v>530.96</v>
      </c>
      <c r="D1412" s="64" t="s">
        <v>3746</v>
      </c>
      <c r="E1412" s="64" t="s">
        <v>3747</v>
      </c>
      <c r="F1412" s="64" t="s">
        <v>3748</v>
      </c>
    </row>
    <row r="1413" spans="3:6" ht="25.5">
      <c r="C1413" s="64">
        <v>530.97</v>
      </c>
      <c r="D1413" s="64" t="s">
        <v>3749</v>
      </c>
      <c r="E1413" s="64" t="s">
        <v>3750</v>
      </c>
      <c r="F1413" s="64" t="s">
        <v>3751</v>
      </c>
    </row>
    <row r="1414" spans="3:6" ht="25.5">
      <c r="C1414" s="64">
        <v>530.98</v>
      </c>
      <c r="D1414" s="64" t="s">
        <v>3752</v>
      </c>
      <c r="E1414" s="64" t="s">
        <v>3753</v>
      </c>
      <c r="F1414" s="64" t="s">
        <v>3754</v>
      </c>
    </row>
    <row r="1415" spans="3:6" ht="25.5">
      <c r="C1415" s="64">
        <v>530.99</v>
      </c>
      <c r="D1415" s="64" t="s">
        <v>3755</v>
      </c>
      <c r="E1415" s="64" t="s">
        <v>3756</v>
      </c>
      <c r="F1415" s="64" t="s">
        <v>3757</v>
      </c>
    </row>
    <row r="1416" spans="3:6" ht="25.5">
      <c r="C1416" s="64">
        <v>530.99099999999999</v>
      </c>
      <c r="D1416" s="64" t="s">
        <v>3758</v>
      </c>
      <c r="E1416" s="64" t="s">
        <v>3759</v>
      </c>
      <c r="F1416" s="64" t="s">
        <v>3760</v>
      </c>
    </row>
    <row r="1417" spans="3:6" ht="25.5">
      <c r="C1417" s="64">
        <v>530.99199999999996</v>
      </c>
      <c r="D1417" s="192" t="s">
        <v>3761</v>
      </c>
      <c r="E1417" s="192" t="s">
        <v>3762</v>
      </c>
      <c r="F1417" s="192" t="s">
        <v>3763</v>
      </c>
    </row>
    <row r="1418" spans="3:6" ht="25.5">
      <c r="C1418" s="64">
        <v>530.99300000000005</v>
      </c>
      <c r="D1418" s="192" t="s">
        <v>3764</v>
      </c>
      <c r="E1418" s="192" t="s">
        <v>3765</v>
      </c>
      <c r="F1418" s="192" t="s">
        <v>3766</v>
      </c>
    </row>
    <row r="1419" spans="3:6">
      <c r="C1419" s="64">
        <v>530.99310000000003</v>
      </c>
      <c r="D1419" s="192" t="s">
        <v>3767</v>
      </c>
      <c r="E1419" s="192" t="s">
        <v>3768</v>
      </c>
      <c r="F1419" s="267" t="s">
        <v>149</v>
      </c>
    </row>
    <row r="1420" spans="3:6">
      <c r="C1420" s="64">
        <v>530.99400000000003</v>
      </c>
      <c r="D1420" s="64" t="s">
        <v>3769</v>
      </c>
      <c r="E1420" s="64" t="s">
        <v>3770</v>
      </c>
      <c r="F1420" s="64" t="s">
        <v>3771</v>
      </c>
    </row>
    <row r="1421" spans="3:6" ht="25.5">
      <c r="C1421" s="64">
        <v>530.995</v>
      </c>
      <c r="D1421" s="192" t="s">
        <v>3772</v>
      </c>
      <c r="E1421" s="192" t="s">
        <v>3773</v>
      </c>
      <c r="F1421" s="192" t="s">
        <v>3774</v>
      </c>
    </row>
    <row r="1422" spans="3:6" ht="93" customHeight="1">
      <c r="C1422" s="64">
        <v>559.1</v>
      </c>
      <c r="D1422" s="169" t="s">
        <v>3775</v>
      </c>
      <c r="E1422" s="64" t="s">
        <v>3776</v>
      </c>
      <c r="F1422" s="64" t="s">
        <v>3777</v>
      </c>
    </row>
    <row r="1423" spans="3:6" ht="53.25" customHeight="1">
      <c r="C1423" s="64">
        <v>559.11</v>
      </c>
      <c r="D1423" s="64" t="s">
        <v>3778</v>
      </c>
      <c r="E1423" s="64" t="s">
        <v>3779</v>
      </c>
      <c r="F1423" s="64" t="s">
        <v>3780</v>
      </c>
    </row>
    <row r="1424" spans="3:6" ht="53.25" customHeight="1">
      <c r="C1424" s="64">
        <v>559.20000000000005</v>
      </c>
      <c r="D1424" s="64" t="s">
        <v>3781</v>
      </c>
      <c r="E1424" s="64" t="s">
        <v>3782</v>
      </c>
      <c r="F1424" s="64" t="s">
        <v>3783</v>
      </c>
    </row>
    <row r="1425" spans="3:6" ht="53.25" customHeight="1">
      <c r="C1425" s="64">
        <v>559.29999999999995</v>
      </c>
      <c r="D1425" s="64" t="s">
        <v>3784</v>
      </c>
      <c r="E1425" s="64" t="s">
        <v>3785</v>
      </c>
      <c r="F1425" s="64" t="s">
        <v>3786</v>
      </c>
    </row>
    <row r="1426" spans="3:6" ht="53.25" customHeight="1">
      <c r="C1426" s="64">
        <v>559.4</v>
      </c>
      <c r="D1426" s="64" t="s">
        <v>3787</v>
      </c>
      <c r="E1426" s="64" t="s">
        <v>3788</v>
      </c>
      <c r="F1426" s="64" t="s">
        <v>3789</v>
      </c>
    </row>
    <row r="1427" spans="3:6" ht="53.25" customHeight="1">
      <c r="C1427" s="64">
        <v>559.5</v>
      </c>
      <c r="D1427" s="64" t="s">
        <v>3790</v>
      </c>
      <c r="E1427" s="64" t="s">
        <v>3791</v>
      </c>
      <c r="F1427" s="64" t="s">
        <v>3792</v>
      </c>
    </row>
    <row r="1428" spans="3:6" ht="53.25" customHeight="1">
      <c r="C1428" s="64">
        <v>559.6</v>
      </c>
      <c r="D1428" s="64" t="s">
        <v>3793</v>
      </c>
      <c r="E1428" s="64" t="s">
        <v>3794</v>
      </c>
      <c r="F1428" s="64" t="s">
        <v>3795</v>
      </c>
    </row>
    <row r="1429" spans="3:6" ht="53.25" customHeight="1">
      <c r="C1429" s="64">
        <v>559.70000000000005</v>
      </c>
      <c r="D1429" s="64" t="s">
        <v>3796</v>
      </c>
      <c r="E1429" s="64" t="s">
        <v>3797</v>
      </c>
      <c r="F1429" s="169" t="s">
        <v>3798</v>
      </c>
    </row>
    <row r="1430" spans="3:6" ht="53.25" customHeight="1">
      <c r="C1430" s="64">
        <v>559.79999999999995</v>
      </c>
      <c r="D1430" s="64" t="s">
        <v>3799</v>
      </c>
      <c r="E1430" s="64" t="s">
        <v>3800</v>
      </c>
      <c r="F1430" s="64" t="s">
        <v>3799</v>
      </c>
    </row>
    <row r="1431" spans="3:6" ht="53.25" customHeight="1">
      <c r="C1431" s="64">
        <v>559.9</v>
      </c>
      <c r="D1431" s="64" t="s">
        <v>3801</v>
      </c>
      <c r="E1431" s="64" t="s">
        <v>3802</v>
      </c>
      <c r="F1431" s="64" t="s">
        <v>3803</v>
      </c>
    </row>
    <row r="1432" spans="3:6" ht="53.25" customHeight="1">
      <c r="C1432" s="64">
        <v>560.11</v>
      </c>
      <c r="D1432" s="64" t="s">
        <v>3804</v>
      </c>
      <c r="E1432" s="64" t="s">
        <v>3805</v>
      </c>
      <c r="F1432" s="64" t="s">
        <v>3806</v>
      </c>
    </row>
    <row r="1433" spans="3:6">
      <c r="C1433" s="64">
        <v>561.11</v>
      </c>
      <c r="D1433" s="64" t="s">
        <v>3807</v>
      </c>
      <c r="E1433" s="64" t="s">
        <v>3808</v>
      </c>
      <c r="F1433" s="64" t="s">
        <v>3809</v>
      </c>
    </row>
    <row r="1434" spans="3:6">
      <c r="C1434" s="64">
        <v>561.12</v>
      </c>
      <c r="D1434" s="64" t="s">
        <v>3810</v>
      </c>
      <c r="E1434" s="64" t="s">
        <v>3811</v>
      </c>
      <c r="F1434" s="64" t="s">
        <v>3812</v>
      </c>
    </row>
    <row r="1435" spans="3:6">
      <c r="C1435" s="64">
        <v>561.13</v>
      </c>
      <c r="D1435" s="64" t="s">
        <v>3813</v>
      </c>
      <c r="E1435" s="64" t="s">
        <v>3813</v>
      </c>
      <c r="F1435" s="64" t="s">
        <v>3814</v>
      </c>
    </row>
    <row r="1436" spans="3:6">
      <c r="C1436" s="64">
        <v>561.14</v>
      </c>
      <c r="E1436" s="64"/>
    </row>
    <row r="1437" spans="3:6">
      <c r="C1437" s="64">
        <v>561.15</v>
      </c>
      <c r="E1437" s="64"/>
    </row>
    <row r="1438" spans="3:6">
      <c r="C1438" s="64">
        <v>561.16</v>
      </c>
      <c r="D1438" s="64" t="s">
        <v>3815</v>
      </c>
      <c r="E1438" s="64" t="s">
        <v>3816</v>
      </c>
      <c r="F1438" s="64" t="s">
        <v>3817</v>
      </c>
    </row>
    <row r="1439" spans="3:6" ht="25.5">
      <c r="C1439" s="64">
        <v>561.16999999999996</v>
      </c>
      <c r="D1439" s="64" t="s">
        <v>3818</v>
      </c>
      <c r="E1439" s="64" t="s">
        <v>3819</v>
      </c>
      <c r="F1439" s="64" t="s">
        <v>3820</v>
      </c>
    </row>
    <row r="1440" spans="3:6">
      <c r="C1440" s="64">
        <v>561.17999999999995</v>
      </c>
      <c r="D1440" s="64" t="s">
        <v>3821</v>
      </c>
      <c r="E1440" s="64" t="s">
        <v>3821</v>
      </c>
      <c r="F1440" s="64" t="s">
        <v>3822</v>
      </c>
    </row>
    <row r="1441" spans="3:6">
      <c r="C1441" s="64">
        <v>561.19000000000005</v>
      </c>
      <c r="D1441" s="64" t="s">
        <v>3823</v>
      </c>
      <c r="E1441" s="64" t="s">
        <v>3824</v>
      </c>
      <c r="F1441" s="64" t="s">
        <v>3825</v>
      </c>
    </row>
    <row r="1442" spans="3:6">
      <c r="C1442" s="64">
        <v>561.20000000000005</v>
      </c>
      <c r="D1442" s="64" t="s">
        <v>3826</v>
      </c>
      <c r="E1442" s="64" t="s">
        <v>3827</v>
      </c>
      <c r="F1442" s="64" t="s">
        <v>3828</v>
      </c>
    </row>
    <row r="1443" spans="3:6">
      <c r="C1443" s="64">
        <v>561.21</v>
      </c>
      <c r="D1443" s="64" t="s">
        <v>3829</v>
      </c>
      <c r="E1443" s="64" t="s">
        <v>3830</v>
      </c>
      <c r="F1443" s="64" t="s">
        <v>3831</v>
      </c>
    </row>
    <row r="1444" spans="3:6">
      <c r="C1444" s="64">
        <v>561.22</v>
      </c>
      <c r="D1444" s="64" t="s">
        <v>3832</v>
      </c>
      <c r="E1444" s="64" t="s">
        <v>3833</v>
      </c>
      <c r="F1444" s="64" t="s">
        <v>3834</v>
      </c>
    </row>
    <row r="1445" spans="3:6">
      <c r="C1445" s="64">
        <v>561.23</v>
      </c>
      <c r="D1445" s="64" t="s">
        <v>3835</v>
      </c>
      <c r="E1445" s="64" t="s">
        <v>3836</v>
      </c>
      <c r="F1445" s="64" t="s">
        <v>3837</v>
      </c>
    </row>
    <row r="1446" spans="3:6">
      <c r="C1446" s="64">
        <v>561.24</v>
      </c>
      <c r="D1446" s="64" t="s">
        <v>3838</v>
      </c>
      <c r="E1446" s="64" t="s">
        <v>3839</v>
      </c>
      <c r="F1446" s="64" t="s">
        <v>3840</v>
      </c>
    </row>
    <row r="1447" spans="3:6">
      <c r="C1447" s="64">
        <v>561.25</v>
      </c>
      <c r="D1447" s="64" t="s">
        <v>3841</v>
      </c>
      <c r="E1447" s="64" t="s">
        <v>3842</v>
      </c>
      <c r="F1447" s="64" t="s">
        <v>3843</v>
      </c>
    </row>
    <row r="1448" spans="3:6">
      <c r="C1448" s="64">
        <v>561.26</v>
      </c>
      <c r="D1448" s="64" t="s">
        <v>3844</v>
      </c>
      <c r="E1448" s="64" t="s">
        <v>3845</v>
      </c>
      <c r="F1448" s="64" t="s">
        <v>3846</v>
      </c>
    </row>
    <row r="1449" spans="3:6">
      <c r="C1449" s="64">
        <v>561.27</v>
      </c>
      <c r="D1449" s="64" t="s">
        <v>3847</v>
      </c>
      <c r="E1449" s="64" t="s">
        <v>3848</v>
      </c>
      <c r="F1449" s="64" t="s">
        <v>3849</v>
      </c>
    </row>
    <row r="1450" spans="3:6">
      <c r="C1450" s="64">
        <v>561.28</v>
      </c>
      <c r="D1450" s="64" t="s">
        <v>3850</v>
      </c>
      <c r="E1450" s="64" t="s">
        <v>3851</v>
      </c>
      <c r="F1450" s="64" t="s">
        <v>3852</v>
      </c>
    </row>
    <row r="1451" spans="3:6">
      <c r="C1451" s="64">
        <v>561.29</v>
      </c>
      <c r="D1451" s="64" t="s">
        <v>3853</v>
      </c>
      <c r="E1451" s="64" t="s">
        <v>3854</v>
      </c>
      <c r="F1451" s="64" t="s">
        <v>3855</v>
      </c>
    </row>
    <row r="1452" spans="3:6">
      <c r="C1452" s="64">
        <v>561.29999999999995</v>
      </c>
      <c r="D1452" s="64" t="s">
        <v>3856</v>
      </c>
      <c r="E1452" s="64" t="s">
        <v>3857</v>
      </c>
      <c r="F1452" s="64" t="s">
        <v>3858</v>
      </c>
    </row>
    <row r="1453" spans="3:6">
      <c r="C1453" s="64">
        <v>561.30999999999995</v>
      </c>
      <c r="D1453" s="64" t="s">
        <v>3859</v>
      </c>
      <c r="E1453" s="64" t="s">
        <v>1988</v>
      </c>
      <c r="F1453" s="64" t="s">
        <v>1989</v>
      </c>
    </row>
    <row r="1454" spans="3:6">
      <c r="C1454" s="64">
        <v>561.32000000000005</v>
      </c>
      <c r="E1454" s="64"/>
    </row>
    <row r="1455" spans="3:6">
      <c r="C1455" s="64">
        <v>561.33000000000004</v>
      </c>
      <c r="E1455" s="64"/>
    </row>
    <row r="1456" spans="3:6">
      <c r="C1456" s="64">
        <v>561.34</v>
      </c>
      <c r="E1456" s="64"/>
    </row>
    <row r="1457" spans="3:6">
      <c r="C1457" s="64">
        <v>561.35</v>
      </c>
      <c r="E1457" s="64"/>
    </row>
    <row r="1458" spans="3:6">
      <c r="C1458" s="64">
        <v>561.36</v>
      </c>
      <c r="E1458" s="64"/>
    </row>
    <row r="1459" spans="3:6" ht="12" customHeight="1">
      <c r="C1459" s="64">
        <v>561.37</v>
      </c>
      <c r="E1459" s="64"/>
    </row>
    <row r="1460" spans="3:6">
      <c r="C1460" s="64">
        <v>561.29999999999995</v>
      </c>
      <c r="E1460" s="64"/>
    </row>
    <row r="1461" spans="3:6">
      <c r="C1461" s="64">
        <v>603.1</v>
      </c>
      <c r="D1461" s="64" t="s">
        <v>3860</v>
      </c>
      <c r="E1461" s="64" t="s">
        <v>3861</v>
      </c>
      <c r="F1461" s="64" t="s">
        <v>3862</v>
      </c>
    </row>
    <row r="1462" spans="3:6">
      <c r="C1462" s="64">
        <v>608.1</v>
      </c>
      <c r="D1462" s="64" t="s">
        <v>3863</v>
      </c>
      <c r="E1462" s="64" t="s">
        <v>3864</v>
      </c>
      <c r="F1462" s="64" t="s">
        <v>3865</v>
      </c>
    </row>
    <row r="1463" spans="3:6">
      <c r="C1463" s="64">
        <v>608.20000000000005</v>
      </c>
      <c r="D1463" s="64" t="s">
        <v>3866</v>
      </c>
      <c r="E1463" s="64" t="s">
        <v>3867</v>
      </c>
      <c r="F1463" s="64" t="s">
        <v>3868</v>
      </c>
    </row>
    <row r="1464" spans="3:6">
      <c r="C1464" s="64">
        <v>608.29999999999995</v>
      </c>
      <c r="D1464" s="64" t="s">
        <v>3869</v>
      </c>
      <c r="E1464" s="64" t="s">
        <v>3870</v>
      </c>
      <c r="F1464" s="64" t="s">
        <v>3871</v>
      </c>
    </row>
    <row r="1465" spans="3:6">
      <c r="C1465" s="64">
        <v>608.4</v>
      </c>
      <c r="D1465" s="64" t="s">
        <v>3872</v>
      </c>
      <c r="E1465" s="64" t="s">
        <v>3873</v>
      </c>
      <c r="F1465" s="64" t="s">
        <v>3874</v>
      </c>
    </row>
    <row r="1466" spans="3:6">
      <c r="C1466" s="64">
        <v>608.5</v>
      </c>
      <c r="D1466" s="64" t="s">
        <v>3875</v>
      </c>
      <c r="E1466" s="64" t="s">
        <v>3876</v>
      </c>
      <c r="F1466" s="64" t="s">
        <v>3877</v>
      </c>
    </row>
    <row r="1467" spans="3:6" ht="38.25">
      <c r="C1467" s="64">
        <v>621.1</v>
      </c>
      <c r="D1467" s="169" t="s">
        <v>3878</v>
      </c>
      <c r="E1467" s="169" t="s">
        <v>3879</v>
      </c>
      <c r="F1467" s="264" t="s">
        <v>149</v>
      </c>
    </row>
    <row r="1468" spans="3:6" ht="63.75">
      <c r="C1468" s="64">
        <v>719.1</v>
      </c>
      <c r="D1468" s="146" t="s">
        <v>3880</v>
      </c>
      <c r="E1468" s="64" t="s">
        <v>3881</v>
      </c>
      <c r="F1468" s="146" t="s">
        <v>3882</v>
      </c>
    </row>
    <row r="1469" spans="3:6">
      <c r="C1469" s="64">
        <v>964.51</v>
      </c>
      <c r="D1469" s="64" t="s">
        <v>3883</v>
      </c>
      <c r="E1469" s="64" t="s">
        <v>3884</v>
      </c>
      <c r="F1469" s="64" t="s">
        <v>3885</v>
      </c>
    </row>
    <row r="1470" spans="3:6" ht="25.5">
      <c r="C1470" s="64">
        <v>964.52</v>
      </c>
      <c r="D1470" s="64" t="s">
        <v>3886</v>
      </c>
      <c r="E1470" s="64" t="s">
        <v>3887</v>
      </c>
      <c r="F1470" s="64" t="s">
        <v>3888</v>
      </c>
    </row>
    <row r="1471" spans="3:6">
      <c r="C1471" s="64">
        <v>964.53</v>
      </c>
      <c r="D1471" s="64" t="s">
        <v>3889</v>
      </c>
      <c r="E1471" s="64" t="s">
        <v>3890</v>
      </c>
      <c r="F1471" s="64" t="s">
        <v>3891</v>
      </c>
    </row>
    <row r="1472" spans="3:6">
      <c r="C1472" s="64">
        <v>964.54</v>
      </c>
      <c r="D1472" s="64" t="s">
        <v>3892</v>
      </c>
      <c r="E1472" s="64" t="s">
        <v>3893</v>
      </c>
      <c r="F1472" s="264" t="s">
        <v>149</v>
      </c>
    </row>
    <row r="1473" spans="3:6">
      <c r="C1473" s="64">
        <v>964.55</v>
      </c>
      <c r="D1473" s="64" t="s">
        <v>3894</v>
      </c>
      <c r="E1473" s="64" t="s">
        <v>3895</v>
      </c>
      <c r="F1473" s="64" t="s">
        <v>3896</v>
      </c>
    </row>
    <row r="1474" spans="3:6">
      <c r="C1474" s="64">
        <v>964.56</v>
      </c>
      <c r="D1474" s="64" t="s">
        <v>3897</v>
      </c>
      <c r="E1474" s="64" t="s">
        <v>3898</v>
      </c>
      <c r="F1474" s="264" t="s">
        <v>149</v>
      </c>
    </row>
    <row r="1475" spans="3:6">
      <c r="C1475" s="64">
        <v>964.57</v>
      </c>
      <c r="D1475" s="64" t="s">
        <v>3899</v>
      </c>
      <c r="E1475" s="64" t="s">
        <v>3900</v>
      </c>
      <c r="F1475" s="264" t="s">
        <v>149</v>
      </c>
    </row>
    <row r="1476" spans="3:6">
      <c r="C1476" s="64">
        <v>964.58</v>
      </c>
      <c r="D1476" s="169" t="s">
        <v>3901</v>
      </c>
      <c r="E1476" s="64" t="s">
        <v>3902</v>
      </c>
      <c r="F1476" s="169" t="s">
        <v>149</v>
      </c>
    </row>
    <row r="1477" spans="3:6">
      <c r="C1477" s="64">
        <v>964.59</v>
      </c>
      <c r="D1477" s="64" t="s">
        <v>3903</v>
      </c>
      <c r="E1477" s="64" t="s">
        <v>3904</v>
      </c>
      <c r="F1477" s="64" t="s">
        <v>2292</v>
      </c>
    </row>
    <row r="1478" spans="3:6">
      <c r="E1478" s="64"/>
    </row>
    <row r="1479" spans="3:6">
      <c r="C1479" s="64">
        <v>964.7</v>
      </c>
      <c r="D1479" s="64" t="s">
        <v>3905</v>
      </c>
      <c r="E1479" s="64" t="s">
        <v>3906</v>
      </c>
      <c r="F1479" s="169" t="s">
        <v>3610</v>
      </c>
    </row>
    <row r="1480" spans="3:6">
      <c r="E1480" s="64"/>
    </row>
    <row r="1481" spans="3:6">
      <c r="C1481" s="64">
        <v>1130.0999999999999</v>
      </c>
      <c r="D1481" s="64" t="s">
        <v>3907</v>
      </c>
      <c r="E1481" s="64" t="s">
        <v>3908</v>
      </c>
      <c r="F1481" s="64" t="s">
        <v>3909</v>
      </c>
    </row>
    <row r="1482" spans="3:6">
      <c r="C1482" s="64">
        <v>1130.2</v>
      </c>
      <c r="D1482" s="64" t="s">
        <v>3910</v>
      </c>
      <c r="E1482" s="64" t="s">
        <v>3911</v>
      </c>
      <c r="F1482" s="64" t="s">
        <v>3912</v>
      </c>
    </row>
    <row r="1483" spans="3:6">
      <c r="C1483" s="64">
        <v>1156.5</v>
      </c>
      <c r="D1483" s="10" t="s">
        <v>3913</v>
      </c>
      <c r="E1483" s="64" t="s">
        <v>3914</v>
      </c>
      <c r="F1483" s="64" t="s">
        <v>3915</v>
      </c>
    </row>
    <row r="1484" spans="3:6">
      <c r="C1484" s="64">
        <v>1158.5</v>
      </c>
      <c r="D1484" s="10" t="s">
        <v>3916</v>
      </c>
      <c r="E1484" s="64" t="s">
        <v>3917</v>
      </c>
      <c r="F1484" s="169" t="s">
        <v>3918</v>
      </c>
    </row>
    <row r="1485" spans="3:6">
      <c r="C1485" s="64">
        <v>1160.5</v>
      </c>
      <c r="D1485" s="10" t="s">
        <v>3919</v>
      </c>
      <c r="E1485" s="64" t="s">
        <v>3920</v>
      </c>
      <c r="F1485" s="64" t="s">
        <v>3921</v>
      </c>
    </row>
    <row r="1486" spans="3:6">
      <c r="C1486" s="64">
        <v>1163.5</v>
      </c>
      <c r="D1486" s="10" t="s">
        <v>3922</v>
      </c>
      <c r="E1486" s="64" t="s">
        <v>3923</v>
      </c>
      <c r="F1486" s="64" t="s">
        <v>2277</v>
      </c>
    </row>
    <row r="1488" spans="3:6" ht="25.5">
      <c r="C1488" s="64">
        <v>1360</v>
      </c>
      <c r="D1488" s="22" t="s">
        <v>3924</v>
      </c>
      <c r="E1488" s="22" t="s">
        <v>3925</v>
      </c>
      <c r="F1488" s="22" t="s">
        <v>3926</v>
      </c>
    </row>
    <row r="1489" spans="3:6" ht="165.75">
      <c r="C1489" s="64">
        <v>1361</v>
      </c>
      <c r="D1489" s="64" t="s">
        <v>3927</v>
      </c>
      <c r="E1489" s="64" t="s">
        <v>3928</v>
      </c>
      <c r="F1489" s="187" t="s">
        <v>3929</v>
      </c>
    </row>
    <row r="1490" spans="3:6" ht="25.5">
      <c r="C1490" s="64">
        <v>1362</v>
      </c>
      <c r="D1490" s="64" t="s">
        <v>3930</v>
      </c>
      <c r="E1490" s="64" t="s">
        <v>3931</v>
      </c>
      <c r="F1490" s="64" t="s">
        <v>3932</v>
      </c>
    </row>
    <row r="1491" spans="3:6" ht="25.5">
      <c r="C1491" s="64">
        <v>1363</v>
      </c>
      <c r="D1491" s="64" t="s">
        <v>3933</v>
      </c>
      <c r="E1491" s="64" t="s">
        <v>3934</v>
      </c>
      <c r="F1491" s="64" t="s">
        <v>3935</v>
      </c>
    </row>
    <row r="1492" spans="3:6">
      <c r="C1492" s="64">
        <v>1364</v>
      </c>
      <c r="D1492" s="40" t="s">
        <v>1928</v>
      </c>
      <c r="E1492" s="16" t="s">
        <v>1929</v>
      </c>
      <c r="F1492" s="223" t="s">
        <v>1930</v>
      </c>
    </row>
    <row r="1493" spans="3:6" ht="63.75">
      <c r="C1493" s="64">
        <v>1365</v>
      </c>
      <c r="D1493" s="64" t="s">
        <v>3936</v>
      </c>
      <c r="E1493" s="169" t="s">
        <v>3937</v>
      </c>
      <c r="F1493" s="169" t="s">
        <v>3938</v>
      </c>
    </row>
    <row r="1494" spans="3:6" ht="76.5">
      <c r="C1494" s="64">
        <v>1366</v>
      </c>
      <c r="D1494" s="64" t="s">
        <v>3939</v>
      </c>
      <c r="E1494" s="169" t="s">
        <v>3940</v>
      </c>
      <c r="F1494" s="64" t="s">
        <v>2182</v>
      </c>
    </row>
    <row r="1495" spans="3:6" ht="25.5">
      <c r="C1495" s="64">
        <v>1367</v>
      </c>
      <c r="D1495" s="64" t="s">
        <v>3941</v>
      </c>
      <c r="E1495" s="169" t="s">
        <v>3942</v>
      </c>
      <c r="F1495" s="169" t="s">
        <v>3943</v>
      </c>
    </row>
    <row r="1496" spans="3:6" ht="89.25">
      <c r="C1496" s="64">
        <v>1368</v>
      </c>
      <c r="D1496" s="64" t="s">
        <v>3944</v>
      </c>
      <c r="E1496" s="169" t="s">
        <v>3945</v>
      </c>
      <c r="F1496" s="169" t="s">
        <v>3946</v>
      </c>
    </row>
    <row r="1497" spans="3:6" ht="63.75">
      <c r="C1497" s="64">
        <v>1369</v>
      </c>
      <c r="D1497" s="64" t="s">
        <v>3947</v>
      </c>
      <c r="E1497" s="64" t="s">
        <v>3948</v>
      </c>
      <c r="F1497" s="169" t="s">
        <v>3949</v>
      </c>
    </row>
    <row r="1498" spans="3:6" ht="63.75">
      <c r="C1498" s="64">
        <v>1370</v>
      </c>
      <c r="D1498" s="64" t="s">
        <v>3950</v>
      </c>
      <c r="E1498" s="64" t="s">
        <v>3951</v>
      </c>
      <c r="F1498" s="169" t="s">
        <v>3952</v>
      </c>
    </row>
    <row r="1499" spans="3:6">
      <c r="C1499" s="64">
        <v>1371</v>
      </c>
      <c r="E1499" s="64"/>
    </row>
    <row r="1500" spans="3:6">
      <c r="C1500" s="64">
        <v>1372</v>
      </c>
      <c r="E1500" s="64"/>
    </row>
    <row r="1501" spans="3:6">
      <c r="C1501" s="64">
        <v>1373</v>
      </c>
      <c r="D1501" s="64" t="s">
        <v>3953</v>
      </c>
      <c r="E1501" s="64" t="s">
        <v>3954</v>
      </c>
      <c r="F1501" s="64" t="s">
        <v>3955</v>
      </c>
    </row>
    <row r="1502" spans="3:6">
      <c r="C1502" s="64">
        <v>1374</v>
      </c>
      <c r="D1502" s="64" t="s">
        <v>3956</v>
      </c>
      <c r="E1502" s="64" t="s">
        <v>3957</v>
      </c>
      <c r="F1502" s="64" t="s">
        <v>3958</v>
      </c>
    </row>
    <row r="1503" spans="3:6" ht="38.25">
      <c r="C1503" s="64">
        <v>1375</v>
      </c>
      <c r="D1503" s="64" t="s">
        <v>3959</v>
      </c>
      <c r="E1503" s="64" t="s">
        <v>3960</v>
      </c>
      <c r="F1503" s="64" t="s">
        <v>3961</v>
      </c>
    </row>
    <row r="1504" spans="3:6" ht="25.5">
      <c r="C1504" s="64">
        <v>1376</v>
      </c>
      <c r="D1504" s="64" t="s">
        <v>3962</v>
      </c>
      <c r="E1504" s="64" t="s">
        <v>3963</v>
      </c>
      <c r="F1504" s="64" t="s">
        <v>3964</v>
      </c>
    </row>
    <row r="1505" spans="3:6">
      <c r="C1505" s="64">
        <v>1377</v>
      </c>
      <c r="D1505" s="64" t="s">
        <v>3965</v>
      </c>
      <c r="E1505" s="64" t="s">
        <v>3966</v>
      </c>
      <c r="F1505" s="64" t="s">
        <v>2532</v>
      </c>
    </row>
    <row r="1506" spans="3:6">
      <c r="C1506" s="64">
        <v>1378</v>
      </c>
      <c r="D1506" s="64" t="s">
        <v>3967</v>
      </c>
      <c r="E1506" s="64" t="str">
        <f>E561</f>
        <v>Identifikationsnummer Kredit</v>
      </c>
      <c r="F1506" s="64" t="s">
        <v>3968</v>
      </c>
    </row>
    <row r="1507" spans="3:6">
      <c r="C1507" s="64">
        <v>1379</v>
      </c>
      <c r="D1507" s="64" t="s">
        <v>3969</v>
      </c>
      <c r="E1507" s="64" t="s">
        <v>3970</v>
      </c>
      <c r="F1507" s="64" t="s">
        <v>3971</v>
      </c>
    </row>
    <row r="1508" spans="3:6">
      <c r="C1508" s="64">
        <v>1380</v>
      </c>
      <c r="D1508" s="64" t="s">
        <v>2407</v>
      </c>
      <c r="E1508" s="192" t="str">
        <f>E522</f>
        <v>Währung des Kredits</v>
      </c>
      <c r="F1508" s="64" t="s">
        <v>3972</v>
      </c>
    </row>
    <row r="1509" spans="3:6">
      <c r="C1509" s="64">
        <v>1381</v>
      </c>
      <c r="E1509" s="64"/>
    </row>
    <row r="1510" spans="3:6">
      <c r="C1510" s="64">
        <v>1382</v>
      </c>
      <c r="D1510" s="64" t="s">
        <v>2410</v>
      </c>
      <c r="E1510" s="192" t="str">
        <f>E523</f>
        <v>KREDITSALDO - 1</v>
      </c>
      <c r="F1510" s="64" t="s">
        <v>3973</v>
      </c>
    </row>
    <row r="1511" spans="3:6" ht="38.25">
      <c r="C1511" s="64">
        <v>1383</v>
      </c>
      <c r="D1511" s="64" t="s">
        <v>3974</v>
      </c>
      <c r="E1511" s="64" t="s">
        <v>3975</v>
      </c>
      <c r="F1511" s="64" t="s">
        <v>3976</v>
      </c>
    </row>
    <row r="1512" spans="3:6">
      <c r="C1512" s="64">
        <v>1384</v>
      </c>
      <c r="D1512" s="64" t="s">
        <v>2413</v>
      </c>
      <c r="E1512" s="192" t="str">
        <f>E524</f>
        <v>KREDITSALDO - 2</v>
      </c>
      <c r="F1512" s="64" t="s">
        <v>3977</v>
      </c>
    </row>
    <row r="1513" spans="3:6" ht="25.5">
      <c r="C1513" s="64">
        <v>1385</v>
      </c>
      <c r="D1513" s="64" t="s">
        <v>3978</v>
      </c>
      <c r="E1513" s="64" t="s">
        <v>3979</v>
      </c>
      <c r="F1513" s="64" t="s">
        <v>3980</v>
      </c>
    </row>
    <row r="1514" spans="3:6">
      <c r="C1514" s="64">
        <v>1386</v>
      </c>
      <c r="D1514" s="64" t="s">
        <v>3981</v>
      </c>
      <c r="E1514" s="64" t="s">
        <v>3982</v>
      </c>
      <c r="F1514" s="64" t="s">
        <v>3983</v>
      </c>
    </row>
    <row r="1515" spans="3:6" ht="25.5">
      <c r="C1515" s="64">
        <v>1387</v>
      </c>
      <c r="D1515" s="64" t="s">
        <v>3984</v>
      </c>
      <c r="E1515" s="64" t="s">
        <v>3985</v>
      </c>
      <c r="F1515" s="64" t="s">
        <v>3986</v>
      </c>
    </row>
    <row r="1516" spans="3:6" ht="25.5">
      <c r="C1516" s="64">
        <v>1388</v>
      </c>
      <c r="D1516" s="64" t="s">
        <v>3987</v>
      </c>
      <c r="E1516" s="64" t="s">
        <v>3988</v>
      </c>
      <c r="F1516" s="64" t="s">
        <v>3989</v>
      </c>
    </row>
    <row r="1517" spans="3:6" ht="51">
      <c r="C1517" s="64">
        <v>1389</v>
      </c>
      <c r="D1517" s="64" t="s">
        <v>3990</v>
      </c>
      <c r="E1517" s="64" t="s">
        <v>3991</v>
      </c>
      <c r="F1517" s="64" t="s">
        <v>3992</v>
      </c>
    </row>
    <row r="1518" spans="3:6" ht="25.5">
      <c r="C1518" s="64">
        <v>1390</v>
      </c>
      <c r="D1518" s="64" t="s">
        <v>3993</v>
      </c>
      <c r="E1518" s="64" t="s">
        <v>3994</v>
      </c>
      <c r="F1518" s="64" t="s">
        <v>3995</v>
      </c>
    </row>
    <row r="1519" spans="3:6" ht="51">
      <c r="C1519" s="64">
        <v>1391</v>
      </c>
      <c r="D1519" s="64" t="s">
        <v>3996</v>
      </c>
      <c r="E1519" s="64" t="s">
        <v>3997</v>
      </c>
      <c r="F1519" s="64" t="s">
        <v>3998</v>
      </c>
    </row>
    <row r="1520" spans="3:6">
      <c r="C1520" s="64">
        <v>1392</v>
      </c>
      <c r="D1520" s="64" t="s">
        <v>3999</v>
      </c>
      <c r="E1520" s="64" t="s">
        <v>4000</v>
      </c>
      <c r="F1520" s="64" t="s">
        <v>4001</v>
      </c>
    </row>
    <row r="1521" spans="3:6" ht="25.5">
      <c r="C1521" s="64">
        <v>1393</v>
      </c>
      <c r="D1521" s="64" t="s">
        <v>4002</v>
      </c>
      <c r="E1521" s="64" t="s">
        <v>4003</v>
      </c>
      <c r="F1521" s="64" t="s">
        <v>4004</v>
      </c>
    </row>
    <row r="1522" spans="3:6" ht="25.5">
      <c r="C1522" s="64">
        <v>1394</v>
      </c>
      <c r="D1522" s="64" t="s">
        <v>4005</v>
      </c>
      <c r="E1522" s="64" t="s">
        <v>4006</v>
      </c>
      <c r="F1522" s="64" t="s">
        <v>4007</v>
      </c>
    </row>
    <row r="1523" spans="3:6" ht="25.5">
      <c r="C1523" s="64">
        <v>1394.5</v>
      </c>
      <c r="D1523" s="64" t="s">
        <v>4008</v>
      </c>
      <c r="E1523" s="64" t="s">
        <v>4009</v>
      </c>
      <c r="F1523" s="64" t="s">
        <v>4010</v>
      </c>
    </row>
    <row r="1524" spans="3:6">
      <c r="C1524" s="64">
        <v>1395</v>
      </c>
      <c r="D1524" s="64" t="s">
        <v>4011</v>
      </c>
      <c r="E1524" s="64" t="s">
        <v>4012</v>
      </c>
      <c r="F1524" s="64" t="s">
        <v>4013</v>
      </c>
    </row>
    <row r="1525" spans="3:6">
      <c r="C1525" s="64">
        <v>1396</v>
      </c>
      <c r="D1525" s="64" t="s">
        <v>4014</v>
      </c>
      <c r="E1525" s="64" t="s">
        <v>4015</v>
      </c>
      <c r="F1525" s="64" t="s">
        <v>4016</v>
      </c>
    </row>
    <row r="1526" spans="3:6">
      <c r="C1526" s="64">
        <v>1397</v>
      </c>
      <c r="D1526" s="64" t="s">
        <v>4017</v>
      </c>
      <c r="E1526" s="64" t="s">
        <v>4018</v>
      </c>
      <c r="F1526" s="64" t="s">
        <v>4019</v>
      </c>
    </row>
    <row r="1527" spans="3:6">
      <c r="C1527" s="64">
        <v>1398</v>
      </c>
      <c r="D1527" s="64" t="s">
        <v>4020</v>
      </c>
      <c r="E1527" s="64" t="s">
        <v>4021</v>
      </c>
      <c r="F1527" s="64" t="s">
        <v>4022</v>
      </c>
    </row>
    <row r="1528" spans="3:6" ht="25.5">
      <c r="C1528" s="64">
        <v>1399</v>
      </c>
      <c r="D1528" s="64" t="s">
        <v>4023</v>
      </c>
      <c r="E1528" s="64" t="s">
        <v>4024</v>
      </c>
      <c r="F1528" s="64" t="s">
        <v>4025</v>
      </c>
    </row>
    <row r="1529" spans="3:6">
      <c r="C1529" s="64">
        <v>1399.1</v>
      </c>
      <c r="D1529" s="64" t="s">
        <v>4026</v>
      </c>
      <c r="E1529" s="64" t="s">
        <v>4027</v>
      </c>
      <c r="F1529" s="64" t="s">
        <v>4028</v>
      </c>
    </row>
    <row r="1530" spans="3:6" ht="25.5">
      <c r="C1530" s="64">
        <v>1399.2</v>
      </c>
      <c r="D1530" s="64" t="s">
        <v>4029</v>
      </c>
      <c r="E1530" s="64" t="s">
        <v>4030</v>
      </c>
      <c r="F1530" s="64" t="s">
        <v>4031</v>
      </c>
    </row>
    <row r="1531" spans="3:6">
      <c r="C1531" s="64">
        <v>1400</v>
      </c>
      <c r="D1531" s="402" t="s">
        <v>1690</v>
      </c>
      <c r="E1531" s="64" t="s">
        <v>1691</v>
      </c>
      <c r="F1531" s="64" t="s">
        <v>1692</v>
      </c>
    </row>
    <row r="1532" spans="3:6" ht="25.5">
      <c r="C1532" s="64">
        <v>1401</v>
      </c>
      <c r="D1532" s="64" t="s">
        <v>4032</v>
      </c>
      <c r="E1532" s="64" t="s">
        <v>4033</v>
      </c>
      <c r="F1532" s="283" t="s">
        <v>4034</v>
      </c>
    </row>
    <row r="1533" spans="3:6" ht="25.5">
      <c r="C1533" s="64">
        <v>1402</v>
      </c>
      <c r="D1533" s="64" t="s">
        <v>4035</v>
      </c>
      <c r="E1533" s="192" t="str">
        <f>E531</f>
        <v>Zinssatz, in% (wenn SCHULDNER einen festen Zinssatz zahlt)</v>
      </c>
      <c r="F1533" s="64" t="s">
        <v>4036</v>
      </c>
    </row>
    <row r="1534" spans="3:6" ht="25.5">
      <c r="C1534" s="64">
        <v>1403</v>
      </c>
      <c r="D1534" s="64" t="s">
        <v>3729</v>
      </c>
      <c r="E1534" s="64" t="str">
        <f>E1406</f>
        <v>Nach Hedging, falls zutreffend. Nur für festverzinsliche Kredite ausfüllen.</v>
      </c>
      <c r="F1534" s="64" t="s">
        <v>4037</v>
      </c>
    </row>
    <row r="1535" spans="3:6" ht="25.5">
      <c r="C1535" s="64">
        <v>1404</v>
      </c>
      <c r="D1535" s="64" t="s">
        <v>4038</v>
      </c>
      <c r="E1535" s="64" t="s">
        <v>4039</v>
      </c>
      <c r="F1535" s="64" t="s">
        <v>4040</v>
      </c>
    </row>
    <row r="1536" spans="3:6" ht="38.25">
      <c r="C1536" s="64">
        <v>1405</v>
      </c>
      <c r="D1536" s="64" t="s">
        <v>3732</v>
      </c>
      <c r="E1536" s="64" t="str">
        <f>E1407</f>
        <v>Vgl. Tabellenblatt "Definitions". Nach Sicherungsgeschäften, falls zutreffend. Nur für festverzinsliche Kredite ausfüllen.</v>
      </c>
      <c r="F1536" s="64" t="s">
        <v>4041</v>
      </c>
    </row>
    <row r="1537" spans="3:6" ht="25.5">
      <c r="C1537" s="64">
        <v>1406</v>
      </c>
      <c r="D1537" s="283" t="s">
        <v>4042</v>
      </c>
      <c r="E1537" s="283" t="s">
        <v>4043</v>
      </c>
      <c r="F1537" s="283" t="s">
        <v>4044</v>
      </c>
    </row>
    <row r="1538" spans="3:6" ht="38.25">
      <c r="C1538" s="64">
        <v>1407</v>
      </c>
      <c r="D1538" s="283" t="s">
        <v>4045</v>
      </c>
      <c r="E1538" s="64" t="s">
        <v>4045</v>
      </c>
      <c r="F1538" s="283" t="s">
        <v>4046</v>
      </c>
    </row>
    <row r="1539" spans="3:6" ht="25.5">
      <c r="C1539" s="64">
        <v>1408</v>
      </c>
      <c r="D1539" s="283" t="s">
        <v>4047</v>
      </c>
      <c r="E1539" s="64" t="s">
        <v>4048</v>
      </c>
      <c r="F1539" s="64" t="s">
        <v>4049</v>
      </c>
    </row>
    <row r="1540" spans="3:6" ht="38.25">
      <c r="C1540" s="64">
        <v>1409</v>
      </c>
      <c r="D1540" s="185" t="s">
        <v>4050</v>
      </c>
      <c r="E1540" s="169" t="s">
        <v>4051</v>
      </c>
      <c r="F1540" s="283" t="s">
        <v>4046</v>
      </c>
    </row>
    <row r="1541" spans="3:6" ht="25.5">
      <c r="C1541" s="64">
        <v>1410</v>
      </c>
      <c r="D1541" s="64" t="s">
        <v>4052</v>
      </c>
      <c r="E1541" s="64" t="s">
        <v>4053</v>
      </c>
      <c r="F1541" s="64" t="s">
        <v>4054</v>
      </c>
    </row>
    <row r="1542" spans="3:6" ht="38.25">
      <c r="C1542" s="64">
        <v>1411</v>
      </c>
      <c r="D1542" s="64" t="s">
        <v>4055</v>
      </c>
      <c r="E1542" s="64" t="s">
        <v>4056</v>
      </c>
      <c r="F1542" s="64" t="s">
        <v>4057</v>
      </c>
    </row>
    <row r="1543" spans="3:6" ht="25.5">
      <c r="C1543" s="64">
        <v>1412</v>
      </c>
      <c r="D1543" s="64" t="s">
        <v>4058</v>
      </c>
      <c r="E1543" s="64" t="s">
        <v>4059</v>
      </c>
      <c r="F1543" s="64" t="s">
        <v>4060</v>
      </c>
    </row>
    <row r="1544" spans="3:6" ht="63.75">
      <c r="C1544" s="64">
        <v>1413</v>
      </c>
      <c r="D1544" s="64" t="s">
        <v>4061</v>
      </c>
      <c r="E1544" s="64" t="s">
        <v>4062</v>
      </c>
      <c r="F1544" s="64" t="s">
        <v>4063</v>
      </c>
    </row>
    <row r="1545" spans="3:6">
      <c r="C1545" s="64">
        <v>1414</v>
      </c>
      <c r="D1545" s="64" t="s">
        <v>4064</v>
      </c>
      <c r="E1545" s="64" t="s">
        <v>4065</v>
      </c>
      <c r="F1545" s="64" t="s">
        <v>4066</v>
      </c>
    </row>
    <row r="1546" spans="3:6" ht="63.75">
      <c r="C1546" s="64">
        <v>1415</v>
      </c>
      <c r="D1546" s="64" t="s">
        <v>4067</v>
      </c>
      <c r="E1546" s="64" t="str">
        <f>E1544</f>
        <v>Nettobetrag der Zahlungen des Mieters an den Kreditnehmer (abzueglich aller mit der Immobilie verbundenen Zahlungen, zu denen der Kreditnehmer verpfllichtet ist). Vgl. LAUFENDE EINNAHMEN (NETTO).</v>
      </c>
      <c r="F1546" s="64" t="s">
        <v>4068</v>
      </c>
    </row>
    <row r="1547" spans="3:6">
      <c r="C1547" s="64">
        <v>1416</v>
      </c>
      <c r="D1547" s="64" t="s">
        <v>4069</v>
      </c>
      <c r="E1547" s="64" t="s">
        <v>4070</v>
      </c>
      <c r="F1547" s="64" t="s">
        <v>4069</v>
      </c>
    </row>
    <row r="1548" spans="3:6" ht="25.5">
      <c r="C1548" s="64">
        <v>1417</v>
      </c>
      <c r="D1548" s="64" t="s">
        <v>4071</v>
      </c>
      <c r="E1548" s="64" t="s">
        <v>4072</v>
      </c>
      <c r="F1548" s="64" t="s">
        <v>4073</v>
      </c>
    </row>
    <row r="1549" spans="3:6" ht="25.5">
      <c r="C1549" s="64">
        <v>1418</v>
      </c>
      <c r="D1549" s="64" t="s">
        <v>4074</v>
      </c>
      <c r="E1549" s="64" t="s">
        <v>4075</v>
      </c>
      <c r="F1549" s="64" t="s">
        <v>4076</v>
      </c>
    </row>
    <row r="1550" spans="3:6">
      <c r="C1550" s="64">
        <v>1419</v>
      </c>
      <c r="D1550" s="64" t="s">
        <v>4077</v>
      </c>
      <c r="E1550" s="64" t="s">
        <v>3658</v>
      </c>
      <c r="F1550" s="64" t="s">
        <v>4078</v>
      </c>
    </row>
    <row r="1551" spans="3:6">
      <c r="C1551" s="64">
        <v>1420</v>
      </c>
      <c r="D1551" s="64" t="s">
        <v>4079</v>
      </c>
      <c r="E1551" s="64" t="str">
        <f>E200</f>
        <v>Häufigkeit der Tilgungszahlungen</v>
      </c>
      <c r="F1551" s="64" t="s">
        <v>4080</v>
      </c>
    </row>
    <row r="1552" spans="3:6">
      <c r="C1552" s="64">
        <v>1421</v>
      </c>
      <c r="E1552" s="64"/>
    </row>
    <row r="1553" spans="3:6">
      <c r="C1553" s="64">
        <v>1422</v>
      </c>
      <c r="D1553" s="64" t="s">
        <v>2454</v>
      </c>
      <c r="E1553" s="64" t="str">
        <f>E540</f>
        <v>Rückzahlungsprofil</v>
      </c>
      <c r="F1553" s="64" t="s">
        <v>4081</v>
      </c>
    </row>
    <row r="1554" spans="3:6">
      <c r="C1554" s="64">
        <v>1423</v>
      </c>
      <c r="E1554" s="64"/>
    </row>
    <row r="1555" spans="3:6">
      <c r="C1555" s="64">
        <v>1424</v>
      </c>
      <c r="D1555" s="64" t="s">
        <v>4082</v>
      </c>
      <c r="E1555" s="64" t="s">
        <v>4083</v>
      </c>
      <c r="F1555" s="64" t="s">
        <v>4084</v>
      </c>
    </row>
    <row r="1556" spans="3:6" ht="25.5">
      <c r="C1556" s="64">
        <v>1425</v>
      </c>
      <c r="D1556" s="64" t="s">
        <v>4085</v>
      </c>
      <c r="E1556" s="64" t="s">
        <v>4086</v>
      </c>
      <c r="F1556" s="64" t="s">
        <v>4087</v>
      </c>
    </row>
    <row r="1557" spans="3:6">
      <c r="C1557" s="64">
        <v>1426</v>
      </c>
      <c r="D1557" s="64" t="s">
        <v>4088</v>
      </c>
      <c r="E1557" s="64" t="s">
        <v>4089</v>
      </c>
      <c r="F1557" s="64" t="s">
        <v>4090</v>
      </c>
    </row>
    <row r="1558" spans="3:6" ht="38.25">
      <c r="C1558" s="64">
        <v>1427</v>
      </c>
      <c r="D1558" s="261" t="s">
        <v>2519</v>
      </c>
      <c r="E1558" s="64" t="str">
        <f>E1409</f>
        <v xml:space="preserve"> </v>
      </c>
      <c r="F1558" s="261" t="s">
        <v>3739</v>
      </c>
    </row>
    <row r="1559" spans="3:6">
      <c r="C1559" s="64">
        <v>1428</v>
      </c>
      <c r="D1559" s="64" t="s">
        <v>4091</v>
      </c>
      <c r="E1559" s="64" t="s">
        <v>4092</v>
      </c>
      <c r="F1559" s="64" t="s">
        <v>4093</v>
      </c>
    </row>
    <row r="1560" spans="3:6">
      <c r="C1560" s="64">
        <v>1429</v>
      </c>
      <c r="D1560" s="64" t="s">
        <v>4094</v>
      </c>
      <c r="E1560" s="64" t="s">
        <v>4095</v>
      </c>
      <c r="F1560" s="64" t="s">
        <v>4096</v>
      </c>
    </row>
    <row r="1561" spans="3:6">
      <c r="C1561" s="64">
        <v>1430</v>
      </c>
      <c r="D1561" s="64" t="s">
        <v>4097</v>
      </c>
      <c r="E1561" s="192" t="s">
        <v>2396</v>
      </c>
      <c r="F1561" s="64" t="s">
        <v>4098</v>
      </c>
    </row>
    <row r="1562" spans="3:6">
      <c r="C1562" s="64">
        <v>1431</v>
      </c>
      <c r="D1562" s="169" t="s">
        <v>149</v>
      </c>
      <c r="E1562" s="169" t="s">
        <v>149</v>
      </c>
      <c r="F1562" s="64" t="s">
        <v>4099</v>
      </c>
    </row>
    <row r="1563" spans="3:6">
      <c r="C1563" s="64">
        <v>1432</v>
      </c>
      <c r="D1563" s="64" t="s">
        <v>4100</v>
      </c>
      <c r="E1563" s="64" t="s">
        <v>4101</v>
      </c>
      <c r="F1563" s="64" t="s">
        <v>4102</v>
      </c>
    </row>
    <row r="1564" spans="3:6">
      <c r="C1564" s="64">
        <v>1433</v>
      </c>
      <c r="D1564" s="64" t="s">
        <v>4077</v>
      </c>
      <c r="E1564" s="64" t="str">
        <f>E1550</f>
        <v>Bitte auswählen</v>
      </c>
      <c r="F1564" s="64" t="s">
        <v>4078</v>
      </c>
    </row>
    <row r="1565" spans="3:6">
      <c r="C1565" s="64">
        <v>1434</v>
      </c>
      <c r="D1565" s="64" t="s">
        <v>4103</v>
      </c>
      <c r="E1565" s="64" t="s">
        <v>4104</v>
      </c>
      <c r="F1565" s="64" t="s">
        <v>4105</v>
      </c>
    </row>
    <row r="1566" spans="3:6" ht="25.5">
      <c r="C1566" s="64">
        <v>1435</v>
      </c>
      <c r="D1566" s="64" t="s">
        <v>4106</v>
      </c>
      <c r="E1566" s="64" t="s">
        <v>4107</v>
      </c>
      <c r="F1566" s="64" t="s">
        <v>4108</v>
      </c>
    </row>
    <row r="1567" spans="3:6">
      <c r="C1567" s="64">
        <v>1436</v>
      </c>
      <c r="D1567" s="64" t="s">
        <v>4109</v>
      </c>
      <c r="E1567" s="64" t="s">
        <v>4110</v>
      </c>
      <c r="F1567" s="64" t="s">
        <v>4111</v>
      </c>
    </row>
    <row r="1568" spans="3:6" ht="51">
      <c r="C1568" s="64">
        <v>1437</v>
      </c>
      <c r="D1568" s="64" t="s">
        <v>4112</v>
      </c>
      <c r="E1568" s="64" t="s">
        <v>4113</v>
      </c>
      <c r="F1568" s="64" t="s">
        <v>4114</v>
      </c>
    </row>
    <row r="1569" spans="3:6">
      <c r="C1569" s="64">
        <v>1438</v>
      </c>
      <c r="D1569" s="64" t="s">
        <v>4115</v>
      </c>
      <c r="E1569" s="64" t="s">
        <v>4116</v>
      </c>
      <c r="F1569" s="64" t="s">
        <v>4117</v>
      </c>
    </row>
    <row r="1570" spans="3:6" ht="51">
      <c r="C1570" s="64">
        <v>1439</v>
      </c>
      <c r="D1570" s="64" t="s">
        <v>4118</v>
      </c>
      <c r="E1570" s="64" t="str">
        <f>E1568</f>
        <v>Wenn der Kredit an ein SPV gewährt wird und durch eine dritte Partei (Sponsor) garantiert ist, wird das Sponsor-Rating (Long Term Senior Unsecured) herangezogen.</v>
      </c>
      <c r="F1570" s="64" t="s">
        <v>4114</v>
      </c>
    </row>
    <row r="1571" spans="3:6">
      <c r="C1571" s="64">
        <v>1440</v>
      </c>
      <c r="D1571" s="64" t="s">
        <v>4119</v>
      </c>
      <c r="E1571" s="64" t="s">
        <v>4120</v>
      </c>
      <c r="F1571" s="64" t="s">
        <v>4121</v>
      </c>
    </row>
    <row r="1572" spans="3:6" ht="51">
      <c r="C1572" s="64">
        <v>1441</v>
      </c>
      <c r="D1572" s="64" t="s">
        <v>4122</v>
      </c>
      <c r="E1572" s="64" t="str">
        <f>E1570</f>
        <v>Wenn der Kredit an ein SPV gewährt wird und durch eine dritte Partei (Sponsor) garantiert ist, wird das Sponsor-Rating (Long Term Senior Unsecured) herangezogen.</v>
      </c>
      <c r="F1572" s="64" t="s">
        <v>4114</v>
      </c>
    </row>
    <row r="1573" spans="3:6">
      <c r="C1573" s="64">
        <v>1441.1</v>
      </c>
      <c r="D1573" s="64" t="s">
        <v>4123</v>
      </c>
      <c r="E1573" s="64" t="s">
        <v>4124</v>
      </c>
      <c r="F1573" s="64" t="s">
        <v>4125</v>
      </c>
    </row>
    <row r="1574" spans="3:6" ht="25.5">
      <c r="C1574" s="64">
        <v>1441.2</v>
      </c>
      <c r="D1574" s="64" t="s">
        <v>4126</v>
      </c>
      <c r="E1574" s="64" t="s">
        <v>4127</v>
      </c>
      <c r="F1574" s="64" t="s">
        <v>4128</v>
      </c>
    </row>
    <row r="1575" spans="3:6">
      <c r="C1575" s="64">
        <v>1441.3</v>
      </c>
      <c r="D1575" s="64" t="s">
        <v>4129</v>
      </c>
      <c r="E1575" s="64" t="s">
        <v>4130</v>
      </c>
      <c r="F1575" s="64" t="s">
        <v>4131</v>
      </c>
    </row>
    <row r="1576" spans="3:6">
      <c r="C1576" s="64">
        <v>1441.4</v>
      </c>
      <c r="D1576" s="169" t="s">
        <v>149</v>
      </c>
      <c r="E1576" s="64" t="s">
        <v>4132</v>
      </c>
      <c r="F1576" s="169" t="s">
        <v>149</v>
      </c>
    </row>
    <row r="1577" spans="3:6">
      <c r="C1577" s="64">
        <v>1441.5</v>
      </c>
      <c r="D1577" s="64" t="s">
        <v>4133</v>
      </c>
      <c r="E1577" s="64" t="s">
        <v>4134</v>
      </c>
      <c r="F1577" s="64" t="s">
        <v>4135</v>
      </c>
    </row>
    <row r="1578" spans="3:6">
      <c r="C1578" s="64">
        <v>1441.6</v>
      </c>
      <c r="D1578" s="64" t="s">
        <v>4136</v>
      </c>
      <c r="E1578" s="64" t="s">
        <v>4137</v>
      </c>
      <c r="F1578" s="64" t="s">
        <v>3792</v>
      </c>
    </row>
    <row r="1579" spans="3:6" ht="25.5">
      <c r="C1579" s="64">
        <v>1441.7</v>
      </c>
      <c r="D1579" s="64" t="s">
        <v>4138</v>
      </c>
      <c r="E1579" s="403" t="s">
        <v>4139</v>
      </c>
      <c r="F1579" s="64" t="s">
        <v>4140</v>
      </c>
    </row>
    <row r="1580" spans="3:6" ht="25.5">
      <c r="C1580" s="64">
        <v>1441.8</v>
      </c>
      <c r="D1580" s="64" t="s">
        <v>4141</v>
      </c>
      <c r="E1580" s="403" t="s">
        <v>4139</v>
      </c>
      <c r="F1580" s="64" t="s">
        <v>4142</v>
      </c>
    </row>
    <row r="1581" spans="3:6" ht="25.5">
      <c r="C1581" s="64">
        <v>1442</v>
      </c>
      <c r="D1581" s="64" t="s">
        <v>4143</v>
      </c>
      <c r="E1581" s="64" t="s">
        <v>4144</v>
      </c>
      <c r="F1581" s="64" t="s">
        <v>4145</v>
      </c>
    </row>
    <row r="1582" spans="3:6">
      <c r="C1582" s="64">
        <v>1443</v>
      </c>
      <c r="D1582" s="64" t="s">
        <v>4146</v>
      </c>
      <c r="E1582" s="64" t="s">
        <v>4147</v>
      </c>
      <c r="F1582" s="64" t="s">
        <v>4148</v>
      </c>
    </row>
    <row r="1583" spans="3:6" ht="25.5">
      <c r="C1583" s="64">
        <v>1444</v>
      </c>
      <c r="D1583" s="64" t="s">
        <v>4149</v>
      </c>
      <c r="E1583" s="64" t="s">
        <v>4150</v>
      </c>
      <c r="F1583" s="64" t="s">
        <v>4145</v>
      </c>
    </row>
    <row r="1584" spans="3:6">
      <c r="C1584" s="64">
        <v>1445</v>
      </c>
      <c r="D1584" s="64" t="s">
        <v>4151</v>
      </c>
      <c r="E1584" s="64" t="s">
        <v>4152</v>
      </c>
      <c r="F1584" s="64" t="s">
        <v>4153</v>
      </c>
    </row>
    <row r="1585" spans="3:6">
      <c r="C1585" s="64">
        <v>1446</v>
      </c>
      <c r="D1585" s="64" t="s">
        <v>4154</v>
      </c>
      <c r="E1585" s="64" t="s">
        <v>4155</v>
      </c>
      <c r="F1585" s="64" t="s">
        <v>4156</v>
      </c>
    </row>
    <row r="1586" spans="3:6" ht="25.5">
      <c r="C1586" s="64">
        <v>1447</v>
      </c>
      <c r="D1586" s="64" t="s">
        <v>4157</v>
      </c>
      <c r="E1586" s="64" t="s">
        <v>4158</v>
      </c>
      <c r="F1586" s="64" t="s">
        <v>4159</v>
      </c>
    </row>
    <row r="1587" spans="3:6">
      <c r="C1587" s="64">
        <v>1448</v>
      </c>
      <c r="D1587" s="64" t="s">
        <v>4160</v>
      </c>
      <c r="E1587" s="64" t="s">
        <v>4161</v>
      </c>
      <c r="F1587" s="283" t="s">
        <v>4162</v>
      </c>
    </row>
    <row r="1588" spans="3:6" ht="25.5">
      <c r="C1588" s="64">
        <v>1449</v>
      </c>
      <c r="D1588" s="64" t="s">
        <v>4163</v>
      </c>
      <c r="E1588" s="64" t="s">
        <v>4164</v>
      </c>
      <c r="F1588" s="283" t="s">
        <v>4165</v>
      </c>
    </row>
    <row r="1589" spans="3:6">
      <c r="C1589" s="64">
        <v>1450</v>
      </c>
      <c r="D1589" s="64" t="s">
        <v>4166</v>
      </c>
      <c r="E1589" s="64" t="s">
        <v>4167</v>
      </c>
      <c r="F1589" s="64" t="s">
        <v>4168</v>
      </c>
    </row>
    <row r="1590" spans="3:6">
      <c r="C1590" s="64">
        <v>1451</v>
      </c>
      <c r="E1590" s="64"/>
    </row>
    <row r="1591" spans="3:6" ht="25.5">
      <c r="C1591" s="64">
        <v>1452</v>
      </c>
      <c r="D1591" s="64" t="s">
        <v>4169</v>
      </c>
      <c r="E1591" s="64" t="s">
        <v>4170</v>
      </c>
      <c r="F1591" s="64" t="s">
        <v>4171</v>
      </c>
    </row>
    <row r="1592" spans="3:6" ht="25.5">
      <c r="C1592" s="64">
        <v>1453</v>
      </c>
      <c r="D1592" s="64" t="s">
        <v>4172</v>
      </c>
      <c r="E1592" s="64" t="str">
        <f>E1586</f>
        <v>Bei mehreren Immobilien Datum der Bewertung der größten Immobilie.</v>
      </c>
      <c r="F1592" s="64" t="s">
        <v>4159</v>
      </c>
    </row>
    <row r="1593" spans="3:6">
      <c r="C1593" s="64">
        <v>1454</v>
      </c>
      <c r="D1593" s="64" t="s">
        <v>4173</v>
      </c>
      <c r="E1593" s="64" t="s">
        <v>4174</v>
      </c>
      <c r="F1593" s="64" t="s">
        <v>4175</v>
      </c>
    </row>
    <row r="1594" spans="3:6" ht="25.5">
      <c r="C1594" s="64">
        <v>1455</v>
      </c>
      <c r="D1594" s="64" t="s">
        <v>4176</v>
      </c>
      <c r="E1594" s="187" t="s">
        <v>4177</v>
      </c>
      <c r="F1594" s="64" t="s">
        <v>4178</v>
      </c>
    </row>
    <row r="1595" spans="3:6">
      <c r="C1595" s="64">
        <v>1456</v>
      </c>
      <c r="D1595" s="64" t="s">
        <v>4179</v>
      </c>
      <c r="E1595" s="64" t="s">
        <v>4180</v>
      </c>
      <c r="F1595" s="64" t="s">
        <v>4181</v>
      </c>
    </row>
    <row r="1596" spans="3:6" ht="25.5">
      <c r="C1596" s="64">
        <v>1457</v>
      </c>
      <c r="D1596" s="64" t="s">
        <v>4182</v>
      </c>
      <c r="E1596" s="64" t="str">
        <f>E1592</f>
        <v>Bei mehreren Immobilien Datum der Bewertung der größten Immobilie.</v>
      </c>
      <c r="F1596" s="64" t="s">
        <v>4183</v>
      </c>
    </row>
    <row r="1597" spans="3:6" ht="25.5">
      <c r="C1597" s="64">
        <v>1457.1</v>
      </c>
      <c r="D1597" s="64" t="s">
        <v>4184</v>
      </c>
      <c r="E1597" s="64" t="s">
        <v>4185</v>
      </c>
      <c r="F1597" s="64" t="s">
        <v>4183</v>
      </c>
    </row>
    <row r="1598" spans="3:6">
      <c r="C1598" s="64">
        <v>1458</v>
      </c>
      <c r="D1598" s="64" t="s">
        <v>4186</v>
      </c>
      <c r="E1598" s="64" t="s">
        <v>4187</v>
      </c>
      <c r="F1598" s="64" t="s">
        <v>4188</v>
      </c>
    </row>
    <row r="1599" spans="3:6" ht="38.25">
      <c r="C1599" s="64">
        <v>1459</v>
      </c>
      <c r="D1599" s="64" t="s">
        <v>4189</v>
      </c>
      <c r="E1599" s="187" t="s">
        <v>4190</v>
      </c>
      <c r="F1599" s="64" t="s">
        <v>4191</v>
      </c>
    </row>
    <row r="1600" spans="3:6">
      <c r="C1600" s="64">
        <v>1460</v>
      </c>
      <c r="D1600" s="64" t="s">
        <v>4192</v>
      </c>
      <c r="E1600" s="64" t="s">
        <v>4193</v>
      </c>
      <c r="F1600" s="64" t="s">
        <v>4194</v>
      </c>
    </row>
    <row r="1601" spans="3:6">
      <c r="C1601" s="64">
        <v>1461</v>
      </c>
      <c r="E1601" s="64"/>
    </row>
    <row r="1602" spans="3:6">
      <c r="C1602" s="64">
        <v>1462</v>
      </c>
      <c r="D1602" s="64" t="s">
        <v>4195</v>
      </c>
      <c r="E1602" s="64" t="s">
        <v>4196</v>
      </c>
      <c r="F1602" s="64" t="s">
        <v>4197</v>
      </c>
    </row>
    <row r="1603" spans="3:6">
      <c r="C1603" s="64">
        <v>1463</v>
      </c>
      <c r="E1603" s="64"/>
    </row>
    <row r="1604" spans="3:6">
      <c r="C1604" s="64">
        <v>1464</v>
      </c>
      <c r="D1604" s="64" t="s">
        <v>4198</v>
      </c>
      <c r="E1604" s="64" t="s">
        <v>4199</v>
      </c>
      <c r="F1604" s="64" t="s">
        <v>4200</v>
      </c>
    </row>
    <row r="1605" spans="3:6">
      <c r="C1605" s="64">
        <v>1465</v>
      </c>
      <c r="E1605" s="64"/>
    </row>
    <row r="1606" spans="3:6">
      <c r="C1606" s="64">
        <v>1466</v>
      </c>
      <c r="D1606" s="64" t="s">
        <v>4201</v>
      </c>
      <c r="E1606" s="64" t="s">
        <v>4202</v>
      </c>
      <c r="F1606" s="64" t="s">
        <v>4203</v>
      </c>
    </row>
    <row r="1607" spans="3:6">
      <c r="C1607" s="64">
        <v>1467</v>
      </c>
      <c r="D1607" s="64" t="s">
        <v>3740</v>
      </c>
      <c r="E1607" s="64" t="s">
        <v>4204</v>
      </c>
      <c r="F1607" s="64" t="s">
        <v>4205</v>
      </c>
    </row>
    <row r="1608" spans="3:6">
      <c r="C1608" s="64">
        <v>1468</v>
      </c>
      <c r="D1608" s="64" t="s">
        <v>4206</v>
      </c>
      <c r="E1608" s="64" t="s">
        <v>4207</v>
      </c>
      <c r="F1608" s="64" t="s">
        <v>4208</v>
      </c>
    </row>
    <row r="1609" spans="3:6">
      <c r="C1609" s="64">
        <v>1469</v>
      </c>
      <c r="E1609" s="64"/>
    </row>
    <row r="1610" spans="3:6">
      <c r="C1610" s="64">
        <v>1470</v>
      </c>
      <c r="D1610" s="64" t="s">
        <v>4209</v>
      </c>
      <c r="E1610" s="64" t="s">
        <v>4210</v>
      </c>
      <c r="F1610" s="64" t="s">
        <v>4211</v>
      </c>
    </row>
    <row r="1611" spans="3:6">
      <c r="C1611" s="64">
        <v>1471</v>
      </c>
      <c r="E1611" s="64"/>
    </row>
    <row r="1612" spans="3:6" ht="25.5">
      <c r="C1612" s="64">
        <v>1472</v>
      </c>
      <c r="D1612" s="64" t="s">
        <v>4212</v>
      </c>
      <c r="E1612" s="64" t="s">
        <v>4213</v>
      </c>
      <c r="F1612" s="64" t="s">
        <v>4214</v>
      </c>
    </row>
    <row r="1613" spans="3:6" ht="38.25">
      <c r="C1613" s="64">
        <v>1473</v>
      </c>
      <c r="D1613" s="64" t="s">
        <v>4215</v>
      </c>
      <c r="E1613" s="64" t="s">
        <v>4216</v>
      </c>
      <c r="F1613" s="64" t="s">
        <v>4217</v>
      </c>
    </row>
    <row r="1614" spans="3:6">
      <c r="C1614" s="64">
        <v>1474</v>
      </c>
      <c r="D1614" s="64" t="s">
        <v>4218</v>
      </c>
      <c r="E1614" s="64" t="s">
        <v>4219</v>
      </c>
      <c r="F1614" s="64" t="s">
        <v>4220</v>
      </c>
    </row>
    <row r="1615" spans="3:6" ht="38.25">
      <c r="C1615" s="64">
        <v>1475</v>
      </c>
      <c r="D1615" s="64" t="s">
        <v>4221</v>
      </c>
      <c r="E1615" s="64" t="s">
        <v>4222</v>
      </c>
      <c r="F1615" s="64" t="s">
        <v>4223</v>
      </c>
    </row>
    <row r="1616" spans="3:6">
      <c r="C1616" s="64">
        <v>1476</v>
      </c>
      <c r="D1616" s="64" t="s">
        <v>4224</v>
      </c>
      <c r="E1616" s="64" t="s">
        <v>4225</v>
      </c>
      <c r="F1616" s="64" t="s">
        <v>4226</v>
      </c>
    </row>
    <row r="1617" spans="3:6">
      <c r="C1617" s="64">
        <v>1477</v>
      </c>
      <c r="E1617" s="64"/>
    </row>
    <row r="1618" spans="3:6">
      <c r="C1618" s="64">
        <v>1478</v>
      </c>
      <c r="D1618" s="64" t="s">
        <v>4227</v>
      </c>
      <c r="E1618" s="64" t="s">
        <v>4228</v>
      </c>
      <c r="F1618" s="64" t="s">
        <v>4229</v>
      </c>
    </row>
    <row r="1619" spans="3:6" ht="51">
      <c r="C1619" s="64">
        <v>1479</v>
      </c>
      <c r="D1619" s="64" t="s">
        <v>4230</v>
      </c>
      <c r="E1619" s="64" t="s">
        <v>4231</v>
      </c>
      <c r="F1619" s="64" t="s">
        <v>4232</v>
      </c>
    </row>
    <row r="1620" spans="3:6">
      <c r="C1620" s="64">
        <v>1480</v>
      </c>
      <c r="D1620" s="64" t="s">
        <v>4233</v>
      </c>
      <c r="E1620" s="64" t="s">
        <v>4234</v>
      </c>
      <c r="F1620" s="64" t="s">
        <v>4235</v>
      </c>
    </row>
    <row r="1621" spans="3:6" ht="51">
      <c r="C1621" s="64">
        <v>1481</v>
      </c>
      <c r="D1621" s="64" t="s">
        <v>4236</v>
      </c>
      <c r="E1621" s="64" t="str">
        <f>E1619</f>
        <v>Werden Reparatur- und Versicherungskosten auf Mieter überwaelzt?</v>
      </c>
      <c r="F1621" s="64" t="s">
        <v>4237</v>
      </c>
    </row>
    <row r="1622" spans="3:6" ht="25.5">
      <c r="C1622" s="64">
        <v>1482</v>
      </c>
      <c r="D1622" s="64" t="s">
        <v>4238</v>
      </c>
      <c r="E1622" s="64" t="s">
        <v>4239</v>
      </c>
      <c r="F1622" s="64" t="s">
        <v>4240</v>
      </c>
    </row>
    <row r="1623" spans="3:6" ht="51">
      <c r="C1623" s="64">
        <v>1483</v>
      </c>
      <c r="D1623" s="64" t="s">
        <v>4241</v>
      </c>
      <c r="E1623" s="64" t="str">
        <f>E1613</f>
        <v xml:space="preserve">Unkündbare verbleibende Mietzeit ab BERICHTSDATUM </v>
      </c>
      <c r="F1623" s="64" t="s">
        <v>4217</v>
      </c>
    </row>
    <row r="1624" spans="3:6">
      <c r="C1624" s="64">
        <v>1484</v>
      </c>
      <c r="D1624" s="64" t="s">
        <v>4242</v>
      </c>
      <c r="E1624" s="64" t="s">
        <v>4243</v>
      </c>
      <c r="F1624" s="64" t="s">
        <v>4244</v>
      </c>
    </row>
    <row r="1625" spans="3:6">
      <c r="C1625" s="64">
        <v>1485</v>
      </c>
      <c r="E1625" s="64"/>
    </row>
    <row r="1626" spans="3:6">
      <c r="C1626" s="64">
        <v>1486</v>
      </c>
      <c r="D1626" s="64" t="s">
        <v>4245</v>
      </c>
      <c r="E1626" s="64" t="s">
        <v>4246</v>
      </c>
      <c r="F1626" s="64" t="s">
        <v>4247</v>
      </c>
    </row>
    <row r="1627" spans="3:6">
      <c r="C1627" s="64">
        <v>1487</v>
      </c>
      <c r="E1627" s="64"/>
    </row>
    <row r="1628" spans="3:6">
      <c r="C1628" s="64">
        <v>1488</v>
      </c>
      <c r="D1628" s="64" t="s">
        <v>4248</v>
      </c>
      <c r="E1628" s="64" t="s">
        <v>4249</v>
      </c>
      <c r="F1628" s="64" t="s">
        <v>4250</v>
      </c>
    </row>
    <row r="1629" spans="3:6">
      <c r="C1629" s="64">
        <v>1489</v>
      </c>
      <c r="E1629" s="64"/>
    </row>
    <row r="1630" spans="3:6">
      <c r="C1630" s="64">
        <v>1490</v>
      </c>
      <c r="D1630" s="64" t="s">
        <v>4251</v>
      </c>
      <c r="E1630" s="64" t="s">
        <v>4252</v>
      </c>
      <c r="F1630" s="64" t="s">
        <v>4253</v>
      </c>
    </row>
    <row r="1631" spans="3:6">
      <c r="C1631" s="64">
        <v>1491</v>
      </c>
      <c r="E1631" s="64"/>
    </row>
    <row r="1632" spans="3:6">
      <c r="C1632" s="64">
        <v>1492</v>
      </c>
      <c r="D1632" s="64" t="s">
        <v>4254</v>
      </c>
      <c r="E1632" s="64" t="s">
        <v>4255</v>
      </c>
      <c r="F1632" s="64" t="s">
        <v>4256</v>
      </c>
    </row>
    <row r="1633" spans="3:6">
      <c r="C1633" s="64">
        <v>1493</v>
      </c>
      <c r="E1633" s="64"/>
    </row>
    <row r="1634" spans="3:6">
      <c r="C1634" s="64">
        <v>1494</v>
      </c>
      <c r="D1634" s="64" t="s">
        <v>4257</v>
      </c>
      <c r="E1634" s="64" t="s">
        <v>4258</v>
      </c>
      <c r="F1634" s="64" t="s">
        <v>4259</v>
      </c>
    </row>
    <row r="1635" spans="3:6">
      <c r="C1635" s="64">
        <v>1495</v>
      </c>
      <c r="E1635" s="64"/>
    </row>
    <row r="1636" spans="3:6" ht="25.5">
      <c r="C1636" s="64">
        <v>1496</v>
      </c>
      <c r="D1636" s="64" t="s">
        <v>4260</v>
      </c>
      <c r="E1636" s="64" t="s">
        <v>4261</v>
      </c>
      <c r="F1636" s="64" t="s">
        <v>4262</v>
      </c>
    </row>
    <row r="1637" spans="3:6">
      <c r="C1637" s="64">
        <v>1497</v>
      </c>
      <c r="E1637" s="64"/>
    </row>
    <row r="1638" spans="3:6">
      <c r="C1638" s="64">
        <v>1498</v>
      </c>
      <c r="D1638" s="64" t="s">
        <v>4263</v>
      </c>
      <c r="E1638" s="64" t="s">
        <v>4264</v>
      </c>
      <c r="F1638" s="64" t="s">
        <v>4265</v>
      </c>
    </row>
    <row r="1639" spans="3:6">
      <c r="C1639" s="64">
        <v>1499</v>
      </c>
      <c r="E1639" s="64"/>
    </row>
    <row r="1640" spans="3:6">
      <c r="C1640" s="64">
        <v>1500</v>
      </c>
      <c r="D1640" s="64" t="s">
        <v>4266</v>
      </c>
      <c r="E1640" s="64" t="s">
        <v>4267</v>
      </c>
      <c r="F1640" s="64" t="s">
        <v>4268</v>
      </c>
    </row>
    <row r="1641" spans="3:6">
      <c r="C1641" s="64">
        <v>1501</v>
      </c>
      <c r="E1641" s="64"/>
      <c r="F1641" s="64" t="s">
        <v>4269</v>
      </c>
    </row>
    <row r="1642" spans="3:6">
      <c r="C1642" s="64">
        <v>1502</v>
      </c>
      <c r="D1642" s="64" t="s">
        <v>3875</v>
      </c>
      <c r="E1642" s="64" t="s">
        <v>4270</v>
      </c>
      <c r="F1642" s="64" t="s">
        <v>4271</v>
      </c>
    </row>
    <row r="1643" spans="3:6" ht="51">
      <c r="C1643" s="64">
        <v>1503</v>
      </c>
      <c r="D1643" s="64" t="s">
        <v>4272</v>
      </c>
      <c r="E1643" s="297" t="s">
        <v>4273</v>
      </c>
      <c r="F1643" s="64" t="s">
        <v>4274</v>
      </c>
    </row>
    <row r="1644" spans="3:6" ht="25.5">
      <c r="C1644" s="64">
        <v>1503.5</v>
      </c>
      <c r="D1644" s="64" t="s">
        <v>4275</v>
      </c>
      <c r="E1644" s="64" t="s">
        <v>4276</v>
      </c>
      <c r="F1644" s="64" t="s">
        <v>4277</v>
      </c>
    </row>
    <row r="1645" spans="3:6">
      <c r="C1645" s="64">
        <v>1504</v>
      </c>
      <c r="D1645" s="64" t="s">
        <v>4278</v>
      </c>
      <c r="E1645" s="64" t="s">
        <v>4279</v>
      </c>
      <c r="F1645" s="64" t="s">
        <v>4280</v>
      </c>
    </row>
    <row r="1646" spans="3:6" ht="38.25">
      <c r="C1646" s="64">
        <v>1505</v>
      </c>
      <c r="D1646" s="64" t="s">
        <v>4281</v>
      </c>
      <c r="E1646" s="64" t="s">
        <v>4282</v>
      </c>
      <c r="F1646" s="64" t="s">
        <v>4283</v>
      </c>
    </row>
    <row r="1647" spans="3:6">
      <c r="C1647" s="64">
        <v>1506</v>
      </c>
      <c r="D1647" s="64" t="s">
        <v>4284</v>
      </c>
      <c r="E1647" s="64" t="s">
        <v>4285</v>
      </c>
      <c r="F1647" s="64" t="s">
        <v>4286</v>
      </c>
    </row>
    <row r="1648" spans="3:6">
      <c r="C1648" s="64">
        <v>1507</v>
      </c>
      <c r="D1648" s="64" t="s">
        <v>4287</v>
      </c>
      <c r="E1648" s="64" t="s">
        <v>4288</v>
      </c>
      <c r="F1648" s="64" t="s">
        <v>4289</v>
      </c>
    </row>
    <row r="1649" spans="3:6">
      <c r="C1649" s="64">
        <v>1508</v>
      </c>
      <c r="D1649" s="64" t="s">
        <v>4290</v>
      </c>
      <c r="E1649" s="64" t="s">
        <v>4291</v>
      </c>
      <c r="F1649" s="64" t="s">
        <v>4290</v>
      </c>
    </row>
    <row r="1650" spans="3:6">
      <c r="C1650" s="64">
        <v>1509</v>
      </c>
      <c r="D1650" s="64" t="s">
        <v>4292</v>
      </c>
      <c r="E1650" s="64" t="s">
        <v>4293</v>
      </c>
      <c r="F1650" s="64" t="s">
        <v>4292</v>
      </c>
    </row>
    <row r="1651" spans="3:6">
      <c r="C1651" s="64">
        <v>1510</v>
      </c>
      <c r="D1651" s="64" t="s">
        <v>4294</v>
      </c>
      <c r="E1651" s="64" t="s">
        <v>4295</v>
      </c>
      <c r="F1651" s="64" t="s">
        <v>4294</v>
      </c>
    </row>
    <row r="1652" spans="3:6" ht="25.5">
      <c r="C1652" s="64">
        <v>1511</v>
      </c>
      <c r="D1652" s="64" t="s">
        <v>4296</v>
      </c>
      <c r="E1652" s="64" t="s">
        <v>4297</v>
      </c>
      <c r="F1652" s="64" t="s">
        <v>4298</v>
      </c>
    </row>
    <row r="1653" spans="3:6">
      <c r="C1653" s="64">
        <v>1512</v>
      </c>
      <c r="E1653" s="64"/>
    </row>
    <row r="1654" spans="3:6">
      <c r="C1654" s="64">
        <v>1513</v>
      </c>
      <c r="E1654" s="64"/>
    </row>
    <row r="1655" spans="3:6">
      <c r="C1655" s="64">
        <v>1514</v>
      </c>
      <c r="E1655" s="64"/>
    </row>
    <row r="1658" spans="3:6" ht="114.75">
      <c r="C1658" s="64">
        <v>1581</v>
      </c>
      <c r="D1658" s="64" t="s">
        <v>4299</v>
      </c>
      <c r="E1658" s="64" t="s">
        <v>4300</v>
      </c>
      <c r="F1658" s="187"/>
    </row>
    <row r="1659" spans="3:6" ht="63.75">
      <c r="C1659" s="64">
        <v>1582</v>
      </c>
      <c r="D1659" s="64" t="s">
        <v>4301</v>
      </c>
      <c r="E1659" s="64" t="s">
        <v>4302</v>
      </c>
      <c r="F1659" s="64" t="s">
        <v>4303</v>
      </c>
    </row>
    <row r="1660" spans="3:6" ht="25.5">
      <c r="C1660" s="64">
        <v>1583</v>
      </c>
      <c r="D1660" s="22" t="s">
        <v>4304</v>
      </c>
      <c r="E1660" s="22" t="s">
        <v>4305</v>
      </c>
      <c r="F1660" s="22" t="s">
        <v>4306</v>
      </c>
    </row>
    <row r="1661" spans="3:6">
      <c r="C1661" s="64">
        <v>1600</v>
      </c>
      <c r="D1661" s="64" t="s">
        <v>4307</v>
      </c>
      <c r="E1661" s="64" t="s">
        <v>4308</v>
      </c>
      <c r="F1661" s="64" t="s">
        <v>4307</v>
      </c>
    </row>
    <row r="1662" spans="3:6" ht="12.75" customHeight="1">
      <c r="C1662" s="64">
        <v>1601</v>
      </c>
      <c r="D1662" s="64" t="s">
        <v>4309</v>
      </c>
      <c r="E1662" s="64" t="s">
        <v>4310</v>
      </c>
      <c r="F1662" s="64" t="s">
        <v>4311</v>
      </c>
    </row>
    <row r="1663" spans="3:6" ht="25.5">
      <c r="C1663" s="64">
        <v>1602</v>
      </c>
      <c r="D1663" s="283" t="s">
        <v>4312</v>
      </c>
      <c r="E1663" s="64" t="s">
        <v>4313</v>
      </c>
      <c r="F1663" s="64" t="s">
        <v>4314</v>
      </c>
    </row>
    <row r="1664" spans="3:6" ht="25.5">
      <c r="C1664" s="64">
        <v>1603</v>
      </c>
      <c r="D1664" s="283" t="s">
        <v>4315</v>
      </c>
      <c r="E1664" s="64" t="s">
        <v>4316</v>
      </c>
      <c r="F1664" s="64" t="s">
        <v>4317</v>
      </c>
    </row>
    <row r="1665" spans="3:6">
      <c r="C1665" s="64">
        <v>1604</v>
      </c>
      <c r="E1665" s="64"/>
    </row>
    <row r="1666" spans="3:6">
      <c r="C1666" s="64">
        <v>1605</v>
      </c>
      <c r="E1666" s="64"/>
    </row>
    <row r="1667" spans="3:6">
      <c r="C1667" s="64">
        <v>1606</v>
      </c>
      <c r="E1667" s="64"/>
    </row>
    <row r="1668" spans="3:6">
      <c r="C1668" s="64">
        <v>1607</v>
      </c>
      <c r="D1668" s="297" t="s">
        <v>4318</v>
      </c>
      <c r="E1668" s="297" t="s">
        <v>4319</v>
      </c>
      <c r="F1668" s="297" t="s">
        <v>4320</v>
      </c>
    </row>
    <row r="1669" spans="3:6">
      <c r="C1669" s="64">
        <v>1608</v>
      </c>
      <c r="D1669" s="300" t="s">
        <v>4321</v>
      </c>
      <c r="E1669" s="300" t="s">
        <v>4322</v>
      </c>
      <c r="F1669" s="300" t="s">
        <v>4323</v>
      </c>
    </row>
    <row r="1670" spans="3:6">
      <c r="C1670" s="64">
        <v>1609</v>
      </c>
      <c r="D1670" s="64" t="s">
        <v>4324</v>
      </c>
      <c r="E1670" s="64" t="s">
        <v>4325</v>
      </c>
      <c r="F1670" s="64" t="s">
        <v>4326</v>
      </c>
    </row>
    <row r="1671" spans="3:6" ht="86.25" customHeight="1">
      <c r="C1671" s="64">
        <v>1610</v>
      </c>
      <c r="D1671" s="64" t="s">
        <v>4327</v>
      </c>
      <c r="E1671" s="64" t="s">
        <v>4328</v>
      </c>
      <c r="F1671" s="64" t="s">
        <v>4329</v>
      </c>
    </row>
    <row r="1672" spans="3:6">
      <c r="C1672" s="64">
        <v>1611</v>
      </c>
      <c r="E1672" s="64"/>
    </row>
    <row r="1673" spans="3:6">
      <c r="C1673" s="64">
        <v>1612</v>
      </c>
      <c r="E1673" s="64"/>
    </row>
    <row r="1674" spans="3:6">
      <c r="C1674" s="64">
        <v>1613</v>
      </c>
      <c r="E1674" s="64"/>
    </row>
    <row r="1675" spans="3:6">
      <c r="C1675" s="64">
        <v>1614</v>
      </c>
      <c r="E1675" s="64"/>
    </row>
    <row r="1676" spans="3:6">
      <c r="C1676" s="64">
        <v>1615</v>
      </c>
      <c r="E1676" s="64"/>
    </row>
    <row r="1677" spans="3:6" ht="25.5">
      <c r="C1677" s="64">
        <v>1616</v>
      </c>
      <c r="D1677" s="64" t="s">
        <v>4330</v>
      </c>
      <c r="E1677" s="64"/>
    </row>
    <row r="1678" spans="3:6">
      <c r="C1678" s="64">
        <v>1617</v>
      </c>
      <c r="E1678" s="64"/>
    </row>
    <row r="1679" spans="3:6">
      <c r="C1679" s="64">
        <v>1618</v>
      </c>
      <c r="E1679" s="64"/>
    </row>
    <row r="1680" spans="3:6" ht="39">
      <c r="C1680" s="64">
        <v>1619</v>
      </c>
      <c r="D1680" s="215" t="s">
        <v>4331</v>
      </c>
      <c r="E1680" s="215" t="s">
        <v>2099</v>
      </c>
      <c r="F1680" s="215" t="s">
        <v>2100</v>
      </c>
    </row>
    <row r="1681" spans="3:6" ht="25.5">
      <c r="C1681" s="64">
        <v>1676</v>
      </c>
      <c r="D1681" s="64" t="s">
        <v>4332</v>
      </c>
      <c r="E1681" s="283" t="s">
        <v>4333</v>
      </c>
      <c r="F1681" s="64" t="s">
        <v>4334</v>
      </c>
    </row>
    <row r="1682" spans="3:6" ht="38.25">
      <c r="C1682" s="64">
        <v>1677</v>
      </c>
      <c r="D1682" s="64" t="s">
        <v>4335</v>
      </c>
      <c r="E1682" s="64" t="s">
        <v>4336</v>
      </c>
      <c r="F1682" s="64" t="s">
        <v>4337</v>
      </c>
    </row>
    <row r="1683" spans="3:6">
      <c r="C1683" s="64">
        <v>1678</v>
      </c>
      <c r="E1683" s="64"/>
    </row>
    <row r="1684" spans="3:6">
      <c r="C1684" s="64">
        <v>1679</v>
      </c>
      <c r="E1684" s="64"/>
    </row>
    <row r="1685" spans="3:6">
      <c r="C1685" s="64">
        <v>1680</v>
      </c>
      <c r="E1685" s="64"/>
    </row>
    <row r="1686" spans="3:6">
      <c r="C1686" s="64">
        <v>1681</v>
      </c>
      <c r="E1686" s="64"/>
    </row>
    <row r="1687" spans="3:6">
      <c r="C1687" s="64">
        <v>1682</v>
      </c>
      <c r="E1687" s="64"/>
    </row>
    <row r="1688" spans="3:6" ht="19.5">
      <c r="C1688" s="64">
        <v>1683</v>
      </c>
      <c r="D1688" s="216" t="s">
        <v>4338</v>
      </c>
      <c r="E1688" s="64" t="s">
        <v>4338</v>
      </c>
      <c r="F1688" s="283" t="s">
        <v>4338</v>
      </c>
    </row>
    <row r="1689" spans="3:6" ht="25.5">
      <c r="C1689" s="64">
        <v>1684</v>
      </c>
      <c r="D1689" s="64" t="s">
        <v>4339</v>
      </c>
      <c r="E1689" s="64" t="s">
        <v>4339</v>
      </c>
      <c r="F1689" s="64" t="s">
        <v>4339</v>
      </c>
    </row>
    <row r="1690" spans="3:6" ht="25.5">
      <c r="C1690" s="64">
        <v>1685</v>
      </c>
      <c r="D1690" s="64" t="s">
        <v>4340</v>
      </c>
      <c r="E1690" s="64" t="s">
        <v>4340</v>
      </c>
      <c r="F1690" s="64" t="s">
        <v>4340</v>
      </c>
    </row>
    <row r="1691" spans="3:6" ht="25.5">
      <c r="C1691" s="64">
        <v>1686</v>
      </c>
      <c r="D1691" s="64" t="s">
        <v>4341</v>
      </c>
      <c r="E1691" s="64" t="s">
        <v>4341</v>
      </c>
      <c r="F1691" s="64" t="s">
        <v>4341</v>
      </c>
    </row>
    <row r="1692" spans="3:6" ht="25.5">
      <c r="C1692" s="64">
        <v>1687</v>
      </c>
      <c r="D1692" s="64" t="s">
        <v>4342</v>
      </c>
      <c r="E1692" s="64" t="s">
        <v>4342</v>
      </c>
      <c r="F1692" s="64" t="s">
        <v>4342</v>
      </c>
    </row>
    <row r="1693" spans="3:6">
      <c r="C1693" s="64">
        <v>1688</v>
      </c>
      <c r="D1693" s="283" t="s">
        <v>118</v>
      </c>
      <c r="E1693" s="283" t="s">
        <v>118</v>
      </c>
      <c r="F1693" s="64" t="s">
        <v>118</v>
      </c>
    </row>
    <row r="1694" spans="3:6">
      <c r="C1694" s="64">
        <v>1689</v>
      </c>
      <c r="E1694" s="64"/>
    </row>
    <row r="1695" spans="3:6">
      <c r="C1695" s="64">
        <v>1690</v>
      </c>
      <c r="E1695" s="64"/>
    </row>
    <row r="1696" spans="3:6">
      <c r="C1696" s="64">
        <v>1691</v>
      </c>
      <c r="E1696" s="64"/>
    </row>
    <row r="1697" spans="3:6">
      <c r="C1697" s="64">
        <v>1692</v>
      </c>
      <c r="E1697" s="64"/>
    </row>
    <row r="1698" spans="3:6">
      <c r="C1698" s="64">
        <v>1693</v>
      </c>
      <c r="D1698" s="19" t="s">
        <v>4343</v>
      </c>
      <c r="E1698" s="64" t="s">
        <v>4344</v>
      </c>
      <c r="F1698" s="64" t="s">
        <v>4345</v>
      </c>
    </row>
    <row r="1699" spans="3:6">
      <c r="C1699" s="64">
        <v>1694</v>
      </c>
      <c r="E1699" s="64"/>
    </row>
    <row r="1700" spans="3:6">
      <c r="C1700" s="64">
        <v>1695</v>
      </c>
      <c r="D1700" s="57" t="s">
        <v>4346</v>
      </c>
      <c r="E1700" s="64" t="s">
        <v>4347</v>
      </c>
      <c r="F1700" s="64" t="s">
        <v>4348</v>
      </c>
    </row>
    <row r="1701" spans="3:6">
      <c r="C1701" s="64">
        <v>1696</v>
      </c>
      <c r="D1701" s="57" t="s">
        <v>4349</v>
      </c>
      <c r="E1701" s="64" t="s">
        <v>4350</v>
      </c>
      <c r="F1701" s="64" t="s">
        <v>4351</v>
      </c>
    </row>
    <row r="1702" spans="3:6">
      <c r="C1702" s="64">
        <v>1697</v>
      </c>
      <c r="D1702" s="277" t="s">
        <v>4352</v>
      </c>
      <c r="E1702" s="64" t="s">
        <v>4353</v>
      </c>
      <c r="F1702" s="64" t="s">
        <v>4354</v>
      </c>
    </row>
    <row r="1703" spans="3:6">
      <c r="C1703" s="64">
        <v>1698</v>
      </c>
      <c r="D1703" s="277" t="s">
        <v>4355</v>
      </c>
      <c r="E1703" s="64" t="s">
        <v>4356</v>
      </c>
      <c r="F1703" s="64" t="s">
        <v>4357</v>
      </c>
    </row>
    <row r="1704" spans="3:6">
      <c r="C1704" s="64">
        <v>1699</v>
      </c>
      <c r="D1704" s="277" t="s">
        <v>4358</v>
      </c>
      <c r="E1704" s="64" t="s">
        <v>4359</v>
      </c>
      <c r="F1704" s="64" t="s">
        <v>4360</v>
      </c>
    </row>
    <row r="1705" spans="3:6">
      <c r="C1705" s="64">
        <v>1700</v>
      </c>
      <c r="D1705" s="277" t="s">
        <v>4361</v>
      </c>
      <c r="E1705" s="64" t="s">
        <v>4362</v>
      </c>
      <c r="F1705" s="64" t="s">
        <v>4363</v>
      </c>
    </row>
    <row r="1706" spans="3:6">
      <c r="C1706" s="64">
        <v>1701</v>
      </c>
      <c r="D1706" s="277" t="s">
        <v>4364</v>
      </c>
      <c r="E1706" s="64" t="s">
        <v>4365</v>
      </c>
      <c r="F1706" s="64" t="s">
        <v>4366</v>
      </c>
    </row>
    <row r="1707" spans="3:6">
      <c r="C1707" s="64">
        <v>1702</v>
      </c>
      <c r="D1707" s="277" t="s">
        <v>4367</v>
      </c>
      <c r="E1707" s="64" t="s">
        <v>4368</v>
      </c>
      <c r="F1707" s="64" t="s">
        <v>4369</v>
      </c>
    </row>
    <row r="1708" spans="3:6">
      <c r="C1708" s="64">
        <v>1703</v>
      </c>
      <c r="D1708" s="277" t="s">
        <v>478</v>
      </c>
      <c r="E1708" s="64" t="s">
        <v>478</v>
      </c>
      <c r="F1708" s="64" t="s">
        <v>4370</v>
      </c>
    </row>
    <row r="1709" spans="3:6">
      <c r="C1709" s="64">
        <v>1704</v>
      </c>
      <c r="D1709" s="277" t="s">
        <v>4371</v>
      </c>
      <c r="E1709" s="64" t="s">
        <v>4371</v>
      </c>
      <c r="F1709" s="64" t="s">
        <v>4372</v>
      </c>
    </row>
    <row r="1710" spans="3:6">
      <c r="C1710" s="64">
        <v>1705</v>
      </c>
      <c r="D1710" s="277" t="s">
        <v>4373</v>
      </c>
      <c r="E1710" s="64" t="s">
        <v>4374</v>
      </c>
      <c r="F1710" s="64" t="s">
        <v>4375</v>
      </c>
    </row>
    <row r="1711" spans="3:6">
      <c r="C1711" s="64">
        <v>1706</v>
      </c>
      <c r="D1711" s="57" t="s">
        <v>4376</v>
      </c>
      <c r="E1711" s="64" t="s">
        <v>4377</v>
      </c>
      <c r="F1711" s="64" t="s">
        <v>4378</v>
      </c>
    </row>
    <row r="1712" spans="3:6">
      <c r="C1712" s="64">
        <v>1707</v>
      </c>
      <c r="E1712" s="64"/>
    </row>
    <row r="1713" spans="3:6">
      <c r="C1713" s="64">
        <v>1708</v>
      </c>
      <c r="D1713" s="64" t="s">
        <v>4379</v>
      </c>
      <c r="E1713" s="64" t="s">
        <v>4380</v>
      </c>
      <c r="F1713" s="64" t="s">
        <v>4381</v>
      </c>
    </row>
    <row r="1714" spans="3:6">
      <c r="C1714" s="64">
        <v>1709</v>
      </c>
      <c r="E1714" s="64"/>
    </row>
    <row r="1715" spans="3:6">
      <c r="C1715" s="64">
        <v>1710</v>
      </c>
      <c r="D1715" s="64" t="s">
        <v>4382</v>
      </c>
      <c r="E1715" s="64" t="s">
        <v>2050</v>
      </c>
      <c r="F1715" s="64" t="s">
        <v>4382</v>
      </c>
    </row>
    <row r="1716" spans="3:6">
      <c r="C1716" s="64">
        <v>1711</v>
      </c>
      <c r="D1716" s="64" t="s">
        <v>4383</v>
      </c>
      <c r="E1716" s="64" t="s">
        <v>4384</v>
      </c>
      <c r="F1716" s="64" t="s">
        <v>4383</v>
      </c>
    </row>
    <row r="1717" spans="3:6">
      <c r="C1717" s="64">
        <v>1712</v>
      </c>
      <c r="D1717" s="64" t="s">
        <v>3289</v>
      </c>
      <c r="E1717" s="64" t="s">
        <v>4385</v>
      </c>
      <c r="F1717" s="64" t="s">
        <v>3289</v>
      </c>
    </row>
    <row r="1718" spans="3:6">
      <c r="C1718" s="64">
        <v>1713</v>
      </c>
      <c r="D1718" s="64" t="s">
        <v>4386</v>
      </c>
      <c r="E1718" s="64" t="s">
        <v>4387</v>
      </c>
      <c r="F1718" s="64" t="s">
        <v>4388</v>
      </c>
    </row>
    <row r="1719" spans="3:6">
      <c r="C1719" s="64">
        <v>1714</v>
      </c>
      <c r="E1719" s="64"/>
    </row>
    <row r="1720" spans="3:6">
      <c r="C1720" s="64">
        <v>1715</v>
      </c>
      <c r="E1720" s="64"/>
    </row>
    <row r="1721" spans="3:6">
      <c r="C1721" s="64">
        <v>1716</v>
      </c>
      <c r="D1721" s="64" t="s">
        <v>325</v>
      </c>
      <c r="E1721" s="64" t="s">
        <v>4389</v>
      </c>
      <c r="F1721" s="64" t="s">
        <v>4389</v>
      </c>
    </row>
    <row r="1722" spans="3:6">
      <c r="C1722" s="64">
        <v>1717</v>
      </c>
      <c r="D1722" s="64" t="s">
        <v>625</v>
      </c>
      <c r="E1722" s="64" t="s">
        <v>4390</v>
      </c>
      <c r="F1722" s="64" t="s">
        <v>4391</v>
      </c>
    </row>
    <row r="1723" spans="3:6">
      <c r="C1723" s="64">
        <v>1718</v>
      </c>
      <c r="D1723" s="64" t="s">
        <v>1181</v>
      </c>
      <c r="E1723" s="297" t="s">
        <v>4392</v>
      </c>
      <c r="F1723" s="64" t="s">
        <v>4393</v>
      </c>
    </row>
    <row r="1724" spans="3:6">
      <c r="C1724" s="64">
        <v>1719</v>
      </c>
      <c r="D1724" s="64" t="s">
        <v>323</v>
      </c>
      <c r="E1724" s="64" t="s">
        <v>4394</v>
      </c>
      <c r="F1724" s="64" t="s">
        <v>4395</v>
      </c>
    </row>
    <row r="1725" spans="3:6">
      <c r="C1725" s="64">
        <v>1720</v>
      </c>
      <c r="E1725" s="64"/>
    </row>
    <row r="1726" spans="3:6">
      <c r="C1726" s="64">
        <v>1721</v>
      </c>
      <c r="E1726" s="64"/>
    </row>
    <row r="1727" spans="3:6">
      <c r="C1727" s="64">
        <v>1722</v>
      </c>
      <c r="E1727" s="64"/>
    </row>
    <row r="1728" spans="3:6" ht="25.5">
      <c r="C1728" s="64">
        <v>1723</v>
      </c>
      <c r="D1728" s="64" t="s">
        <v>4332</v>
      </c>
      <c r="E1728" s="64" t="s">
        <v>4396</v>
      </c>
      <c r="F1728" s="64" t="s">
        <v>4334</v>
      </c>
    </row>
    <row r="1729" spans="3:6">
      <c r="C1729" s="64">
        <v>1724</v>
      </c>
      <c r="E1729" s="64"/>
    </row>
    <row r="1730" spans="3:6">
      <c r="C1730" s="64">
        <v>1725</v>
      </c>
      <c r="E1730" s="64"/>
    </row>
    <row r="1731" spans="3:6">
      <c r="C1731" s="64">
        <v>1726</v>
      </c>
      <c r="E1731" s="64"/>
    </row>
    <row r="1732" spans="3:6">
      <c r="C1732" s="64">
        <v>1727</v>
      </c>
      <c r="D1732" s="297" t="s">
        <v>587</v>
      </c>
      <c r="E1732" s="297" t="s">
        <v>4397</v>
      </c>
      <c r="F1732" s="297" t="s">
        <v>4398</v>
      </c>
    </row>
    <row r="1733" spans="3:6">
      <c r="C1733" s="64">
        <v>1728</v>
      </c>
      <c r="D1733" s="297" t="s">
        <v>615</v>
      </c>
      <c r="E1733" s="297" t="s">
        <v>4399</v>
      </c>
      <c r="F1733" s="297" t="s">
        <v>4400</v>
      </c>
    </row>
    <row r="1734" spans="3:6">
      <c r="C1734" s="64">
        <v>1729</v>
      </c>
      <c r="D1734" s="297" t="s">
        <v>623</v>
      </c>
      <c r="E1734" s="297" t="s">
        <v>4401</v>
      </c>
      <c r="F1734" s="297" t="s">
        <v>4402</v>
      </c>
    </row>
    <row r="1735" spans="3:6">
      <c r="C1735" s="64">
        <v>1730</v>
      </c>
      <c r="D1735" s="297" t="s">
        <v>1551</v>
      </c>
      <c r="E1735" s="297" t="s">
        <v>4403</v>
      </c>
      <c r="F1735" s="297" t="s">
        <v>4404</v>
      </c>
    </row>
    <row r="1736" spans="3:6">
      <c r="C1736" s="64">
        <v>1731</v>
      </c>
      <c r="D1736" s="297" t="s">
        <v>625</v>
      </c>
      <c r="E1736" s="297" t="s">
        <v>4390</v>
      </c>
      <c r="F1736" s="297" t="s">
        <v>4391</v>
      </c>
    </row>
    <row r="1737" spans="3:6">
      <c r="C1737" s="64">
        <v>1732</v>
      </c>
      <c r="D1737" s="297" t="s">
        <v>4405</v>
      </c>
      <c r="E1737" s="297" t="s">
        <v>4406</v>
      </c>
      <c r="F1737" s="297" t="s">
        <v>4407</v>
      </c>
    </row>
    <row r="1738" spans="3:6">
      <c r="C1738" s="64">
        <v>1733</v>
      </c>
      <c r="D1738" s="297" t="s">
        <v>1552</v>
      </c>
      <c r="E1738" s="297" t="s">
        <v>4408</v>
      </c>
      <c r="F1738" s="297" t="s">
        <v>4409</v>
      </c>
    </row>
    <row r="1739" spans="3:6">
      <c r="C1739" s="64">
        <v>1734</v>
      </c>
      <c r="D1739" s="64" t="s">
        <v>593</v>
      </c>
      <c r="E1739" s="64" t="s">
        <v>4410</v>
      </c>
      <c r="F1739" s="64" t="s">
        <v>593</v>
      </c>
    </row>
    <row r="1740" spans="3:6">
      <c r="C1740" s="64">
        <v>1735</v>
      </c>
      <c r="D1740" s="64" t="s">
        <v>611</v>
      </c>
      <c r="E1740" s="64" t="s">
        <v>4411</v>
      </c>
      <c r="F1740" s="64" t="s">
        <v>4412</v>
      </c>
    </row>
    <row r="1741" spans="3:6">
      <c r="C1741" s="64">
        <v>1736</v>
      </c>
      <c r="D1741" s="64" t="s">
        <v>613</v>
      </c>
      <c r="E1741" s="64" t="s">
        <v>4413</v>
      </c>
      <c r="F1741" s="64" t="s">
        <v>4414</v>
      </c>
    </row>
    <row r="1742" spans="3:6">
      <c r="C1742" s="64">
        <v>1737</v>
      </c>
      <c r="D1742" s="64" t="s">
        <v>583</v>
      </c>
      <c r="E1742" s="64" t="s">
        <v>4415</v>
      </c>
      <c r="F1742" s="64" t="s">
        <v>583</v>
      </c>
    </row>
    <row r="1743" spans="3:6">
      <c r="C1743" s="64">
        <v>1738</v>
      </c>
      <c r="D1743" s="64" t="s">
        <v>585</v>
      </c>
      <c r="E1743" s="64" t="s">
        <v>4416</v>
      </c>
      <c r="F1743" s="64" t="s">
        <v>4417</v>
      </c>
    </row>
    <row r="1744" spans="3:6">
      <c r="C1744" s="64">
        <v>1739</v>
      </c>
      <c r="D1744" s="64" t="s">
        <v>636</v>
      </c>
      <c r="E1744" s="64" t="s">
        <v>636</v>
      </c>
      <c r="F1744" s="64" t="s">
        <v>636</v>
      </c>
    </row>
    <row r="1745" spans="3:6">
      <c r="C1745" s="64">
        <v>1740</v>
      </c>
      <c r="D1745" s="64" t="s">
        <v>617</v>
      </c>
      <c r="E1745" s="64" t="s">
        <v>617</v>
      </c>
      <c r="F1745" s="64" t="s">
        <v>617</v>
      </c>
    </row>
    <row r="1746" spans="3:6">
      <c r="C1746" s="64">
        <v>1741</v>
      </c>
      <c r="D1746" s="64" t="s">
        <v>627</v>
      </c>
      <c r="E1746" s="64" t="s">
        <v>4418</v>
      </c>
      <c r="F1746" s="64" t="s">
        <v>4419</v>
      </c>
    </row>
    <row r="1747" spans="3:6">
      <c r="C1747" s="64">
        <v>1742</v>
      </c>
      <c r="D1747" s="64" t="s">
        <v>4420</v>
      </c>
      <c r="E1747" s="64" t="s">
        <v>4420</v>
      </c>
      <c r="F1747" s="64" t="s">
        <v>4420</v>
      </c>
    </row>
    <row r="1748" spans="3:6">
      <c r="C1748" s="64">
        <v>1743</v>
      </c>
      <c r="D1748" s="64" t="s">
        <v>4421</v>
      </c>
      <c r="E1748" s="64" t="s">
        <v>4422</v>
      </c>
      <c r="F1748" s="64" t="s">
        <v>4421</v>
      </c>
    </row>
    <row r="1749" spans="3:6">
      <c r="C1749" s="64">
        <v>1744</v>
      </c>
      <c r="D1749" s="64" t="s">
        <v>4423</v>
      </c>
      <c r="E1749" s="64" t="s">
        <v>4424</v>
      </c>
      <c r="F1749" s="64" t="s">
        <v>4423</v>
      </c>
    </row>
    <row r="1750" spans="3:6">
      <c r="C1750" s="64">
        <v>1745</v>
      </c>
      <c r="D1750" s="64" t="s">
        <v>4425</v>
      </c>
      <c r="E1750" s="64" t="s">
        <v>4426</v>
      </c>
      <c r="F1750" s="64" t="s">
        <v>4427</v>
      </c>
    </row>
    <row r="1751" spans="3:6">
      <c r="C1751" s="64">
        <v>1746</v>
      </c>
      <c r="D1751" s="64" t="s">
        <v>4428</v>
      </c>
      <c r="E1751" s="64" t="s">
        <v>4429</v>
      </c>
      <c r="F1751" s="64" t="s">
        <v>4430</v>
      </c>
    </row>
    <row r="1752" spans="3:6">
      <c r="C1752" s="64">
        <v>1747</v>
      </c>
      <c r="D1752" s="64" t="s">
        <v>4431</v>
      </c>
      <c r="E1752" s="64" t="s">
        <v>4431</v>
      </c>
      <c r="F1752" s="64" t="s">
        <v>4432</v>
      </c>
    </row>
    <row r="1753" spans="3:6">
      <c r="C1753" s="64">
        <v>1748</v>
      </c>
      <c r="D1753" s="64" t="s">
        <v>4433</v>
      </c>
      <c r="E1753" s="64" t="s">
        <v>4433</v>
      </c>
      <c r="F1753" s="64" t="s">
        <v>4434</v>
      </c>
    </row>
    <row r="1754" spans="3:6">
      <c r="C1754" s="64">
        <v>1749</v>
      </c>
      <c r="D1754" s="64" t="s">
        <v>4435</v>
      </c>
      <c r="E1754" s="64" t="s">
        <v>4436</v>
      </c>
      <c r="F1754" s="64" t="s">
        <v>4437</v>
      </c>
    </row>
    <row r="1755" spans="3:6">
      <c r="C1755" s="64">
        <v>1750</v>
      </c>
      <c r="D1755" s="64" t="s">
        <v>4438</v>
      </c>
      <c r="E1755" s="64" t="s">
        <v>4439</v>
      </c>
      <c r="F1755" s="64" t="s">
        <v>4438</v>
      </c>
    </row>
    <row r="1756" spans="3:6">
      <c r="C1756" s="64">
        <v>1751</v>
      </c>
      <c r="D1756" s="64" t="s">
        <v>315</v>
      </c>
      <c r="E1756" s="64" t="s">
        <v>4440</v>
      </c>
      <c r="F1756" s="64" t="s">
        <v>4441</v>
      </c>
    </row>
    <row r="1757" spans="3:6">
      <c r="C1757" s="64">
        <v>1752</v>
      </c>
      <c r="D1757" s="64" t="s">
        <v>4442</v>
      </c>
      <c r="E1757" s="64" t="s">
        <v>4443</v>
      </c>
      <c r="F1757" s="64" t="s">
        <v>4444</v>
      </c>
    </row>
    <row r="1758" spans="3:6">
      <c r="C1758" s="64">
        <v>1753</v>
      </c>
      <c r="D1758" s="64" t="s">
        <v>4445</v>
      </c>
      <c r="E1758" s="64" t="s">
        <v>4445</v>
      </c>
      <c r="F1758" s="64" t="s">
        <v>4445</v>
      </c>
    </row>
    <row r="1759" spans="3:6">
      <c r="C1759" s="64">
        <v>1754</v>
      </c>
      <c r="D1759" s="64" t="s">
        <v>4446</v>
      </c>
      <c r="E1759" s="64" t="s">
        <v>4447</v>
      </c>
      <c r="F1759" s="64" t="s">
        <v>4448</v>
      </c>
    </row>
    <row r="1760" spans="3:6">
      <c r="C1760" s="64">
        <v>1755</v>
      </c>
      <c r="D1760" s="64" t="s">
        <v>4449</v>
      </c>
      <c r="E1760" s="64" t="s">
        <v>4449</v>
      </c>
      <c r="F1760" s="64" t="s">
        <v>4450</v>
      </c>
    </row>
    <row r="1761" spans="3:6">
      <c r="C1761" s="297">
        <v>1756</v>
      </c>
      <c r="D1761" s="300" t="s">
        <v>4451</v>
      </c>
      <c r="E1761" s="297"/>
      <c r="F1761" s="300" t="s">
        <v>4452</v>
      </c>
    </row>
    <row r="1762" spans="3:6">
      <c r="C1762" s="297">
        <v>1757</v>
      </c>
      <c r="D1762" s="297"/>
      <c r="E1762" s="297"/>
      <c r="F1762" s="297"/>
    </row>
    <row r="1763" spans="3:6">
      <c r="C1763" s="297">
        <v>1758</v>
      </c>
      <c r="D1763" s="297"/>
      <c r="E1763" s="297"/>
      <c r="F1763" s="297"/>
    </row>
    <row r="1764" spans="3:6" ht="25.5">
      <c r="C1764" s="297">
        <v>1759</v>
      </c>
      <c r="D1764" s="302" t="s">
        <v>3924</v>
      </c>
      <c r="E1764" s="302" t="s">
        <v>3925</v>
      </c>
      <c r="F1764" s="302" t="s">
        <v>3926</v>
      </c>
    </row>
    <row r="1765" spans="3:6">
      <c r="C1765" s="297">
        <v>1760</v>
      </c>
      <c r="D1765" s="297"/>
      <c r="E1765" s="297"/>
      <c r="F1765" s="297"/>
    </row>
    <row r="1766" spans="3:6" ht="25.5">
      <c r="C1766" s="297">
        <v>1761</v>
      </c>
      <c r="D1766" s="297" t="s">
        <v>4453</v>
      </c>
      <c r="E1766" s="297" t="s">
        <v>4454</v>
      </c>
      <c r="F1766" s="300" t="s">
        <v>4455</v>
      </c>
    </row>
    <row r="1767" spans="3:6">
      <c r="C1767" s="297">
        <v>1762</v>
      </c>
      <c r="D1767" s="297"/>
      <c r="E1767" s="297"/>
      <c r="F1767" s="297"/>
    </row>
    <row r="1768" spans="3:6">
      <c r="C1768" s="297">
        <v>1763</v>
      </c>
      <c r="D1768" s="297" t="s">
        <v>4456</v>
      </c>
      <c r="E1768" s="297" t="s">
        <v>4457</v>
      </c>
      <c r="F1768" s="300" t="s">
        <v>4458</v>
      </c>
    </row>
    <row r="1769" spans="3:6">
      <c r="C1769" s="297">
        <v>1764</v>
      </c>
      <c r="D1769" s="297" t="s">
        <v>4459</v>
      </c>
      <c r="E1769" s="297" t="s">
        <v>4460</v>
      </c>
      <c r="F1769" s="300" t="s">
        <v>4461</v>
      </c>
    </row>
    <row r="1770" spans="3:6">
      <c r="C1770" s="297">
        <v>1765</v>
      </c>
      <c r="D1770" s="297" t="s">
        <v>3663</v>
      </c>
      <c r="E1770" s="297" t="s">
        <v>3664</v>
      </c>
      <c r="F1770" s="297" t="s">
        <v>3663</v>
      </c>
    </row>
    <row r="1771" spans="3:6" ht="25.5">
      <c r="C1771" s="297">
        <v>1766</v>
      </c>
      <c r="D1771" s="300" t="s">
        <v>4462</v>
      </c>
      <c r="E1771" s="297" t="s">
        <v>4463</v>
      </c>
      <c r="F1771" s="300" t="s">
        <v>4464</v>
      </c>
    </row>
    <row r="1772" spans="3:6">
      <c r="C1772" s="297">
        <v>1767</v>
      </c>
      <c r="D1772" s="300" t="s">
        <v>4465</v>
      </c>
      <c r="E1772" s="297" t="s">
        <v>4466</v>
      </c>
      <c r="F1772" s="300" t="s">
        <v>4467</v>
      </c>
    </row>
    <row r="1773" spans="3:6">
      <c r="C1773" s="297">
        <v>1768</v>
      </c>
      <c r="D1773" s="297" t="s">
        <v>4468</v>
      </c>
      <c r="E1773" s="297" t="s">
        <v>4469</v>
      </c>
      <c r="F1773" s="300" t="s">
        <v>4470</v>
      </c>
    </row>
    <row r="1774" spans="3:6" ht="38.25">
      <c r="C1774" s="297">
        <v>1769</v>
      </c>
      <c r="D1774" s="297" t="s">
        <v>4471</v>
      </c>
      <c r="E1774" s="297" t="s">
        <v>4472</v>
      </c>
      <c r="F1774" s="300" t="s">
        <v>4473</v>
      </c>
    </row>
    <row r="1775" spans="3:6">
      <c r="C1775" s="297">
        <v>1770</v>
      </c>
      <c r="D1775" s="297"/>
      <c r="E1775" s="297"/>
      <c r="F1775" s="297"/>
    </row>
    <row r="1776" spans="3:6">
      <c r="C1776" s="297">
        <v>1771</v>
      </c>
      <c r="D1776" s="297"/>
      <c r="E1776" s="297"/>
      <c r="F1776" s="297"/>
    </row>
    <row r="1777" spans="3:6">
      <c r="C1777" s="297">
        <v>1772</v>
      </c>
      <c r="D1777" s="302" t="s">
        <v>2384</v>
      </c>
      <c r="E1777" s="302" t="s">
        <v>2385</v>
      </c>
      <c r="F1777" s="302" t="s">
        <v>2386</v>
      </c>
    </row>
    <row r="1778" spans="3:6">
      <c r="C1778" s="297">
        <v>1773</v>
      </c>
      <c r="D1778" s="297"/>
      <c r="E1778" s="297"/>
      <c r="F1778" s="297"/>
    </row>
    <row r="1779" spans="3:6">
      <c r="C1779" s="297">
        <v>1774</v>
      </c>
      <c r="D1779" s="297" t="s">
        <v>4474</v>
      </c>
      <c r="E1779" s="297" t="s">
        <v>4474</v>
      </c>
      <c r="F1779" s="297" t="s">
        <v>4474</v>
      </c>
    </row>
    <row r="1780" spans="3:6">
      <c r="C1780" s="297">
        <v>1775</v>
      </c>
      <c r="D1780" s="297" t="s">
        <v>4475</v>
      </c>
      <c r="E1780" s="297" t="s">
        <v>4475</v>
      </c>
      <c r="F1780" s="297" t="s">
        <v>4475</v>
      </c>
    </row>
    <row r="1781" spans="3:6">
      <c r="C1781" s="297">
        <v>1776</v>
      </c>
      <c r="D1781" s="297" t="s">
        <v>4476</v>
      </c>
      <c r="E1781" s="297" t="s">
        <v>4476</v>
      </c>
      <c r="F1781" s="297" t="s">
        <v>4476</v>
      </c>
    </row>
    <row r="1782" spans="3:6">
      <c r="C1782" s="297">
        <v>1777</v>
      </c>
      <c r="D1782" s="297" t="s">
        <v>4477</v>
      </c>
      <c r="E1782" s="297" t="s">
        <v>4477</v>
      </c>
      <c r="F1782" s="297" t="s">
        <v>4477</v>
      </c>
    </row>
    <row r="1783" spans="3:6">
      <c r="C1783" s="297">
        <v>1778</v>
      </c>
      <c r="D1783" s="297" t="s">
        <v>4478</v>
      </c>
      <c r="E1783" s="297" t="s">
        <v>4478</v>
      </c>
      <c r="F1783" s="297" t="s">
        <v>4478</v>
      </c>
    </row>
    <row r="1784" spans="3:6">
      <c r="C1784" s="297">
        <v>1779</v>
      </c>
      <c r="D1784" s="297" t="s">
        <v>4479</v>
      </c>
      <c r="E1784" s="297" t="s">
        <v>4479</v>
      </c>
      <c r="F1784" s="297" t="s">
        <v>4479</v>
      </c>
    </row>
    <row r="1785" spans="3:6">
      <c r="C1785" s="297">
        <v>1780</v>
      </c>
      <c r="D1785" s="297" t="s">
        <v>4480</v>
      </c>
      <c r="E1785" s="297" t="s">
        <v>4480</v>
      </c>
      <c r="F1785" s="297" t="s">
        <v>4480</v>
      </c>
    </row>
    <row r="1786" spans="3:6">
      <c r="C1786" s="297">
        <v>1781</v>
      </c>
      <c r="D1786" s="297" t="s">
        <v>4481</v>
      </c>
      <c r="E1786" s="297" t="s">
        <v>4481</v>
      </c>
      <c r="F1786" s="297" t="s">
        <v>4481</v>
      </c>
    </row>
    <row r="1787" spans="3:6">
      <c r="C1787" s="297">
        <v>1782</v>
      </c>
      <c r="D1787" s="297"/>
      <c r="E1787" s="297"/>
      <c r="F1787" s="297"/>
    </row>
    <row r="1788" spans="3:6">
      <c r="C1788" s="297">
        <v>1783</v>
      </c>
      <c r="D1788" s="297"/>
      <c r="E1788" s="297"/>
      <c r="F1788" s="297"/>
    </row>
    <row r="1789" spans="3:6">
      <c r="C1789" s="297">
        <v>1784</v>
      </c>
      <c r="D1789" s="302" t="s">
        <v>2752</v>
      </c>
      <c r="E1789" s="302" t="s">
        <v>2752</v>
      </c>
      <c r="F1789" s="302" t="s">
        <v>2752</v>
      </c>
    </row>
    <row r="1790" spans="3:6">
      <c r="C1790" s="297">
        <v>1785</v>
      </c>
      <c r="D1790" s="297"/>
      <c r="E1790" s="297"/>
      <c r="F1790" s="297"/>
    </row>
    <row r="1791" spans="3:6">
      <c r="C1791" s="297">
        <v>1786</v>
      </c>
      <c r="D1791" s="297" t="s">
        <v>2882</v>
      </c>
      <c r="E1791" s="297" t="s">
        <v>2883</v>
      </c>
      <c r="F1791" s="300" t="s">
        <v>4482</v>
      </c>
    </row>
    <row r="1792" spans="3:6" ht="51">
      <c r="C1792" s="297">
        <v>1787</v>
      </c>
      <c r="D1792" s="297" t="s">
        <v>2885</v>
      </c>
      <c r="E1792" s="297" t="s">
        <v>2886</v>
      </c>
      <c r="F1792" s="300" t="s">
        <v>2887</v>
      </c>
    </row>
    <row r="1793" spans="3:6">
      <c r="C1793" s="297">
        <v>1788</v>
      </c>
      <c r="D1793" s="297"/>
      <c r="E1793" s="297"/>
      <c r="F1793" s="297"/>
    </row>
    <row r="1794" spans="3:6">
      <c r="C1794" s="297">
        <v>1789</v>
      </c>
      <c r="D1794" s="297"/>
      <c r="E1794" s="297"/>
      <c r="F1794" s="297"/>
    </row>
    <row r="1795" spans="3:6">
      <c r="C1795" s="297">
        <v>1790</v>
      </c>
      <c r="D1795" s="297" t="s">
        <v>3280</v>
      </c>
      <c r="E1795" s="297" t="s">
        <v>3281</v>
      </c>
      <c r="F1795" s="300" t="s">
        <v>4483</v>
      </c>
    </row>
    <row r="1796" spans="3:6">
      <c r="C1796" s="297">
        <v>1791</v>
      </c>
      <c r="D1796" s="297" t="s">
        <v>3283</v>
      </c>
      <c r="E1796" s="297" t="s">
        <v>3284</v>
      </c>
      <c r="F1796" s="300" t="s">
        <v>3283</v>
      </c>
    </row>
    <row r="1797" spans="3:6">
      <c r="C1797" s="297">
        <v>1792</v>
      </c>
      <c r="D1797" s="297"/>
      <c r="E1797" s="297"/>
      <c r="F1797" s="300"/>
    </row>
    <row r="1798" spans="3:6">
      <c r="C1798" s="297">
        <v>1793</v>
      </c>
      <c r="D1798" s="297" t="s">
        <v>2888</v>
      </c>
      <c r="E1798" s="297" t="s">
        <v>2889</v>
      </c>
      <c r="F1798" s="300" t="s">
        <v>4484</v>
      </c>
    </row>
    <row r="1799" spans="3:6" ht="51">
      <c r="C1799" s="297">
        <v>1794</v>
      </c>
      <c r="D1799" s="297" t="s">
        <v>2891</v>
      </c>
      <c r="E1799" s="297" t="s">
        <v>2892</v>
      </c>
      <c r="F1799" s="300" t="s">
        <v>4485</v>
      </c>
    </row>
    <row r="1800" spans="3:6">
      <c r="C1800" s="297">
        <v>1795</v>
      </c>
      <c r="D1800" s="297"/>
      <c r="E1800" s="297"/>
      <c r="F1800" s="297"/>
    </row>
    <row r="1801" spans="3:6">
      <c r="C1801" s="297">
        <v>1796</v>
      </c>
      <c r="D1801" s="297"/>
      <c r="E1801" s="297"/>
      <c r="F1801" s="297"/>
    </row>
    <row r="1802" spans="3:6">
      <c r="C1802" s="297">
        <v>1797</v>
      </c>
      <c r="D1802" s="297" t="s">
        <v>3280</v>
      </c>
      <c r="E1802" s="297" t="s">
        <v>3281</v>
      </c>
      <c r="F1802" s="300" t="s">
        <v>4483</v>
      </c>
    </row>
    <row r="1803" spans="3:6">
      <c r="C1803" s="297">
        <v>1798</v>
      </c>
      <c r="D1803" s="297" t="s">
        <v>3283</v>
      </c>
      <c r="E1803" s="297" t="s">
        <v>3284</v>
      </c>
      <c r="F1803" s="300" t="s">
        <v>3283</v>
      </c>
    </row>
    <row r="1804" spans="3:6">
      <c r="C1804" s="297">
        <v>1799</v>
      </c>
      <c r="D1804" s="297"/>
      <c r="E1804" s="297"/>
      <c r="F1804" s="297"/>
    </row>
    <row r="1805" spans="3:6">
      <c r="C1805" s="297">
        <v>1800</v>
      </c>
      <c r="D1805" s="297" t="s">
        <v>2894</v>
      </c>
      <c r="E1805" s="297" t="s">
        <v>4486</v>
      </c>
      <c r="F1805" s="300" t="s">
        <v>4487</v>
      </c>
    </row>
    <row r="1806" spans="3:6" ht="51">
      <c r="C1806" s="297">
        <v>1801</v>
      </c>
      <c r="D1806" s="297" t="s">
        <v>2897</v>
      </c>
      <c r="E1806" s="297" t="s">
        <v>4488</v>
      </c>
      <c r="F1806" s="300" t="s">
        <v>4489</v>
      </c>
    </row>
    <row r="1807" spans="3:6">
      <c r="C1807" s="297">
        <v>1802</v>
      </c>
      <c r="D1807" s="297"/>
      <c r="E1807" s="297"/>
      <c r="F1807" s="297"/>
    </row>
    <row r="1808" spans="3:6">
      <c r="C1808" s="297">
        <v>1803</v>
      </c>
      <c r="D1808" s="297" t="s">
        <v>4490</v>
      </c>
      <c r="E1808" s="297" t="s">
        <v>4491</v>
      </c>
      <c r="F1808" s="300" t="s">
        <v>4492</v>
      </c>
    </row>
    <row r="1809" spans="3:6" ht="63.75">
      <c r="C1809" s="297">
        <v>1804</v>
      </c>
      <c r="D1809" s="297" t="s">
        <v>4493</v>
      </c>
      <c r="E1809" s="297" t="s">
        <v>4494</v>
      </c>
      <c r="F1809" s="300" t="s">
        <v>4495</v>
      </c>
    </row>
    <row r="1810" spans="3:6">
      <c r="C1810" s="297">
        <v>1805</v>
      </c>
      <c r="D1810" s="297"/>
      <c r="E1810" s="297"/>
      <c r="F1810" s="297"/>
    </row>
    <row r="1811" spans="3:6">
      <c r="C1811" s="297">
        <v>1806</v>
      </c>
      <c r="D1811" s="297"/>
      <c r="E1811" s="297"/>
      <c r="F1811" s="297"/>
    </row>
    <row r="1812" spans="3:6">
      <c r="C1812" s="297">
        <v>1807</v>
      </c>
      <c r="D1812" s="297" t="s">
        <v>4496</v>
      </c>
      <c r="E1812" s="297" t="s">
        <v>4496</v>
      </c>
      <c r="F1812" s="300" t="s">
        <v>4496</v>
      </c>
    </row>
    <row r="1813" spans="3:6">
      <c r="C1813" s="297">
        <v>1808</v>
      </c>
      <c r="D1813" s="297" t="s">
        <v>4497</v>
      </c>
      <c r="E1813" s="297" t="s">
        <v>4498</v>
      </c>
      <c r="F1813" s="300" t="s">
        <v>4499</v>
      </c>
    </row>
    <row r="1814" spans="3:6">
      <c r="C1814" s="297">
        <v>1809</v>
      </c>
      <c r="D1814" s="297"/>
      <c r="E1814" s="297"/>
      <c r="F1814" s="297"/>
    </row>
    <row r="1815" spans="3:6">
      <c r="C1815" s="297">
        <v>1810</v>
      </c>
      <c r="D1815" s="297" t="s">
        <v>4500</v>
      </c>
      <c r="E1815" s="297" t="s">
        <v>2901</v>
      </c>
      <c r="F1815" s="300" t="s">
        <v>4501</v>
      </c>
    </row>
    <row r="1816" spans="3:6" ht="51">
      <c r="C1816" s="297">
        <v>1811</v>
      </c>
      <c r="D1816" s="297" t="s">
        <v>2903</v>
      </c>
      <c r="E1816" s="297" t="s">
        <v>2904</v>
      </c>
      <c r="F1816" s="300" t="s">
        <v>4502</v>
      </c>
    </row>
    <row r="1817" spans="3:6">
      <c r="C1817" s="64">
        <v>1812</v>
      </c>
      <c r="D1817" s="157" t="s">
        <v>4503</v>
      </c>
      <c r="E1817" s="64" t="s">
        <v>4504</v>
      </c>
      <c r="F1817" s="283" t="s">
        <v>4505</v>
      </c>
    </row>
    <row r="1818" spans="3:6">
      <c r="C1818" s="64">
        <v>1813</v>
      </c>
      <c r="E1818" s="64"/>
    </row>
    <row r="1819" spans="3:6">
      <c r="C1819" s="64">
        <v>1814</v>
      </c>
      <c r="D1819" s="64" t="s">
        <v>4506</v>
      </c>
      <c r="E1819" s="64" t="s">
        <v>4507</v>
      </c>
      <c r="F1819" s="283" t="s">
        <v>4407</v>
      </c>
    </row>
    <row r="1820" spans="3:6">
      <c r="C1820" s="64">
        <v>1815</v>
      </c>
      <c r="D1820" s="64" t="s">
        <v>4508</v>
      </c>
      <c r="E1820" s="64" t="s">
        <v>4509</v>
      </c>
      <c r="F1820" s="283" t="s">
        <v>4510</v>
      </c>
    </row>
    <row r="1821" spans="3:6">
      <c r="C1821" s="64">
        <v>1816</v>
      </c>
      <c r="D1821" s="64" t="s">
        <v>4511</v>
      </c>
      <c r="E1821" s="64" t="s">
        <v>4512</v>
      </c>
      <c r="F1821" s="283" t="s">
        <v>4513</v>
      </c>
    </row>
    <row r="1822" spans="3:6">
      <c r="C1822" s="64">
        <v>1817</v>
      </c>
      <c r="D1822" s="64" t="s">
        <v>4514</v>
      </c>
      <c r="E1822" s="64" t="s">
        <v>4515</v>
      </c>
      <c r="F1822" s="283" t="s">
        <v>4516</v>
      </c>
    </row>
    <row r="1823" spans="3:6">
      <c r="C1823" s="64">
        <v>1818</v>
      </c>
      <c r="D1823" s="64" t="s">
        <v>4517</v>
      </c>
      <c r="E1823" s="64" t="s">
        <v>4518</v>
      </c>
      <c r="F1823" s="283" t="s">
        <v>4519</v>
      </c>
    </row>
    <row r="1824" spans="3:6">
      <c r="C1824" s="64">
        <v>1819</v>
      </c>
      <c r="D1824" s="64" t="s">
        <v>4520</v>
      </c>
      <c r="E1824" s="297" t="s">
        <v>4521</v>
      </c>
      <c r="F1824" s="283" t="s">
        <v>4522</v>
      </c>
    </row>
    <row r="1825" spans="3:6">
      <c r="C1825" s="64">
        <v>1820</v>
      </c>
      <c r="D1825" s="64" t="s">
        <v>4523</v>
      </c>
      <c r="E1825" s="297" t="s">
        <v>4524</v>
      </c>
      <c r="F1825" s="283" t="s">
        <v>4525</v>
      </c>
    </row>
    <row r="1826" spans="3:6">
      <c r="C1826" s="64">
        <v>1821</v>
      </c>
      <c r="D1826" s="64" t="s">
        <v>4526</v>
      </c>
      <c r="E1826" s="64" t="s">
        <v>4527</v>
      </c>
      <c r="F1826" s="283" t="s">
        <v>4526</v>
      </c>
    </row>
    <row r="1827" spans="3:6">
      <c r="C1827" s="64">
        <v>1822</v>
      </c>
      <c r="D1827" s="64" t="s">
        <v>4528</v>
      </c>
      <c r="E1827" s="64" t="s">
        <v>4529</v>
      </c>
      <c r="F1827" s="283" t="s">
        <v>4530</v>
      </c>
    </row>
    <row r="1828" spans="3:6">
      <c r="C1828" s="64">
        <v>1823</v>
      </c>
      <c r="D1828" s="64" t="s">
        <v>4531</v>
      </c>
      <c r="E1828" s="283" t="s">
        <v>4532</v>
      </c>
      <c r="F1828" s="283" t="s">
        <v>4533</v>
      </c>
    </row>
    <row r="1829" spans="3:6">
      <c r="C1829" s="64">
        <v>1824</v>
      </c>
      <c r="D1829" s="64" t="s">
        <v>4474</v>
      </c>
      <c r="E1829" s="64" t="s">
        <v>4534</v>
      </c>
      <c r="F1829" s="64" t="s">
        <v>4474</v>
      </c>
    </row>
    <row r="1830" spans="3:6">
      <c r="C1830" s="64">
        <v>1825</v>
      </c>
      <c r="D1830" s="64" t="s">
        <v>4475</v>
      </c>
      <c r="E1830" s="283" t="s">
        <v>4535</v>
      </c>
      <c r="F1830" s="64" t="s">
        <v>4475</v>
      </c>
    </row>
    <row r="1831" spans="3:6">
      <c r="C1831" s="64">
        <v>1826</v>
      </c>
      <c r="D1831" s="64" t="s">
        <v>4476</v>
      </c>
      <c r="E1831" s="64" t="s">
        <v>4536</v>
      </c>
      <c r="F1831" s="64" t="s">
        <v>4476</v>
      </c>
    </row>
    <row r="1832" spans="3:6">
      <c r="C1832" s="64">
        <v>1827</v>
      </c>
      <c r="D1832" s="64" t="s">
        <v>4477</v>
      </c>
      <c r="E1832" s="64" t="s">
        <v>4537</v>
      </c>
      <c r="F1832" s="64" t="s">
        <v>4477</v>
      </c>
    </row>
    <row r="1833" spans="3:6">
      <c r="C1833" s="64">
        <v>1828</v>
      </c>
      <c r="D1833" s="64" t="s">
        <v>4478</v>
      </c>
      <c r="E1833" s="64" t="s">
        <v>4538</v>
      </c>
      <c r="F1833" s="64" t="s">
        <v>4478</v>
      </c>
    </row>
    <row r="1834" spans="3:6">
      <c r="C1834" s="64">
        <v>1829</v>
      </c>
      <c r="D1834" s="64" t="s">
        <v>4479</v>
      </c>
      <c r="E1834" s="297" t="s">
        <v>4539</v>
      </c>
      <c r="F1834" s="64" t="s">
        <v>4479</v>
      </c>
    </row>
    <row r="1835" spans="3:6">
      <c r="C1835" s="64">
        <v>1830</v>
      </c>
      <c r="D1835" s="64" t="s">
        <v>4480</v>
      </c>
      <c r="E1835" s="64" t="s">
        <v>4540</v>
      </c>
      <c r="F1835" s="64" t="s">
        <v>4480</v>
      </c>
    </row>
    <row r="1836" spans="3:6">
      <c r="C1836" s="64">
        <v>1831</v>
      </c>
      <c r="D1836" s="64" t="s">
        <v>4481</v>
      </c>
      <c r="E1836" s="64" t="s">
        <v>4541</v>
      </c>
      <c r="F1836" s="64" t="s">
        <v>4481</v>
      </c>
    </row>
    <row r="1837" spans="3:6">
      <c r="C1837" s="64">
        <v>1832</v>
      </c>
      <c r="D1837" s="283" t="s">
        <v>4542</v>
      </c>
      <c r="E1837" s="64" t="s">
        <v>4543</v>
      </c>
      <c r="F1837" s="283" t="s">
        <v>4542</v>
      </c>
    </row>
    <row r="1838" spans="3:6">
      <c r="C1838" s="64">
        <v>1833</v>
      </c>
      <c r="D1838" s="283" t="s">
        <v>4544</v>
      </c>
      <c r="E1838" s="64" t="s">
        <v>4545</v>
      </c>
      <c r="F1838" s="283" t="s">
        <v>4546</v>
      </c>
    </row>
    <row r="1839" spans="3:6">
      <c r="C1839" s="64">
        <v>1834</v>
      </c>
      <c r="D1839" s="283" t="s">
        <v>4490</v>
      </c>
      <c r="E1839" s="64" t="s">
        <v>4547</v>
      </c>
      <c r="F1839" s="283" t="s">
        <v>4492</v>
      </c>
    </row>
    <row r="1840" spans="3:6" ht="63.75">
      <c r="C1840" s="64">
        <v>1835</v>
      </c>
      <c r="D1840" s="64" t="s">
        <v>4493</v>
      </c>
      <c r="E1840" s="64" t="s">
        <v>4494</v>
      </c>
      <c r="F1840" s="64" t="s">
        <v>4495</v>
      </c>
    </row>
    <row r="1841" spans="3:6">
      <c r="C1841" s="64">
        <v>1836</v>
      </c>
      <c r="D1841" s="309" t="s">
        <v>4496</v>
      </c>
      <c r="E1841" s="64" t="s">
        <v>4496</v>
      </c>
      <c r="F1841" s="283" t="s">
        <v>4496</v>
      </c>
    </row>
    <row r="1842" spans="3:6">
      <c r="C1842" s="64">
        <v>1837</v>
      </c>
      <c r="D1842" s="309" t="s">
        <v>4497</v>
      </c>
      <c r="E1842" s="64" t="s">
        <v>4498</v>
      </c>
      <c r="F1842" s="283" t="s">
        <v>4499</v>
      </c>
    </row>
    <row r="1843" spans="3:6">
      <c r="C1843" s="64">
        <v>1838</v>
      </c>
      <c r="D1843" s="283" t="s">
        <v>116</v>
      </c>
      <c r="E1843" s="283" t="s">
        <v>4548</v>
      </c>
      <c r="F1843" s="283" t="s">
        <v>2292</v>
      </c>
    </row>
    <row r="1844" spans="3:6">
      <c r="C1844" s="64">
        <v>1839</v>
      </c>
      <c r="D1844" s="283" t="s">
        <v>4549</v>
      </c>
      <c r="E1844" s="297" t="s">
        <v>4550</v>
      </c>
      <c r="F1844" s="283" t="s">
        <v>4549</v>
      </c>
    </row>
    <row r="1845" spans="3:6" ht="15">
      <c r="C1845" s="537" t="s">
        <v>4551</v>
      </c>
      <c r="D1845" s="537"/>
      <c r="E1845" s="537"/>
      <c r="F1845" s="537"/>
    </row>
    <row r="1846" spans="3:6">
      <c r="C1846" s="64">
        <v>1840.1</v>
      </c>
      <c r="D1846" s="64" t="s">
        <v>4552</v>
      </c>
      <c r="E1846" s="64" t="s">
        <v>4552</v>
      </c>
      <c r="F1846" s="64" t="s">
        <v>4553</v>
      </c>
    </row>
    <row r="1847" spans="3:6">
      <c r="C1847" s="64">
        <v>1840</v>
      </c>
      <c r="D1847" s="64" t="s">
        <v>4554</v>
      </c>
      <c r="E1847" s="64" t="s">
        <v>4555</v>
      </c>
      <c r="F1847" s="64" t="s">
        <v>4556</v>
      </c>
    </row>
    <row r="1848" spans="3:6">
      <c r="C1848" s="64">
        <v>1841</v>
      </c>
      <c r="D1848" s="64" t="s">
        <v>4557</v>
      </c>
      <c r="E1848" s="64" t="s">
        <v>4558</v>
      </c>
      <c r="F1848" s="64" t="s">
        <v>4559</v>
      </c>
    </row>
    <row r="1849" spans="3:6">
      <c r="C1849" s="64">
        <v>1842</v>
      </c>
      <c r="D1849" s="64" t="s">
        <v>4560</v>
      </c>
      <c r="E1849" s="64" t="s">
        <v>4561</v>
      </c>
      <c r="F1849" s="64" t="s">
        <v>4562</v>
      </c>
    </row>
    <row r="1850" spans="3:6">
      <c r="C1850" s="64">
        <v>1843</v>
      </c>
      <c r="D1850" s="64" t="s">
        <v>4563</v>
      </c>
      <c r="E1850" s="64" t="s">
        <v>4564</v>
      </c>
      <c r="F1850" s="64" t="s">
        <v>4565</v>
      </c>
    </row>
    <row r="1851" spans="3:6" ht="25.5">
      <c r="C1851" s="64">
        <v>1844</v>
      </c>
      <c r="D1851" s="64" t="s">
        <v>4566</v>
      </c>
      <c r="E1851" s="64" t="s">
        <v>4567</v>
      </c>
      <c r="F1851" s="64" t="s">
        <v>4568</v>
      </c>
    </row>
    <row r="1852" spans="3:6">
      <c r="C1852" s="64">
        <v>1845</v>
      </c>
      <c r="D1852" s="64" t="s">
        <v>4569</v>
      </c>
      <c r="E1852" s="64" t="s">
        <v>4570</v>
      </c>
      <c r="F1852" s="64" t="s">
        <v>4571</v>
      </c>
    </row>
    <row r="1853" spans="3:6">
      <c r="C1853" s="64">
        <v>1846</v>
      </c>
      <c r="D1853" s="64" t="s">
        <v>4572</v>
      </c>
      <c r="E1853" s="64" t="s">
        <v>4573</v>
      </c>
      <c r="F1853" s="64" t="s">
        <v>4574</v>
      </c>
    </row>
    <row r="1854" spans="3:6">
      <c r="C1854" s="64">
        <v>1847</v>
      </c>
      <c r="D1854" s="283"/>
      <c r="E1854" s="64"/>
    </row>
    <row r="1855" spans="3:6">
      <c r="C1855" s="64">
        <v>1848</v>
      </c>
      <c r="D1855" s="64" t="s">
        <v>4575</v>
      </c>
      <c r="E1855" s="64" t="s">
        <v>4576</v>
      </c>
      <c r="F1855" s="283" t="s">
        <v>4577</v>
      </c>
    </row>
    <row r="1856" spans="3:6">
      <c r="C1856" s="64">
        <v>1849</v>
      </c>
      <c r="D1856" s="283" t="s">
        <v>4578</v>
      </c>
      <c r="E1856" s="64" t="s">
        <v>4579</v>
      </c>
      <c r="F1856" s="283" t="s">
        <v>4580</v>
      </c>
    </row>
    <row r="1857" spans="3:6">
      <c r="C1857" s="64">
        <v>1850</v>
      </c>
      <c r="D1857" s="64" t="s">
        <v>4581</v>
      </c>
      <c r="E1857" s="64" t="s">
        <v>4582</v>
      </c>
      <c r="F1857" s="64" t="s">
        <v>4583</v>
      </c>
    </row>
    <row r="1858" spans="3:6">
      <c r="C1858" s="64">
        <v>1851</v>
      </c>
      <c r="D1858" s="64" t="s">
        <v>4584</v>
      </c>
      <c r="E1858" s="64" t="s">
        <v>4585</v>
      </c>
      <c r="F1858" s="64" t="s">
        <v>4586</v>
      </c>
    </row>
    <row r="1859" spans="3:6">
      <c r="C1859" s="64">
        <v>1852</v>
      </c>
      <c r="D1859" s="64" t="s">
        <v>4587</v>
      </c>
      <c r="E1859" s="64" t="s">
        <v>4588</v>
      </c>
      <c r="F1859" s="64" t="s">
        <v>4589</v>
      </c>
    </row>
    <row r="1860" spans="3:6">
      <c r="C1860" s="64">
        <v>1853</v>
      </c>
      <c r="D1860" s="64" t="s">
        <v>4590</v>
      </c>
      <c r="E1860" s="64" t="s">
        <v>4590</v>
      </c>
      <c r="F1860" s="64" t="s">
        <v>4591</v>
      </c>
    </row>
    <row r="1861" spans="3:6">
      <c r="C1861" s="64">
        <v>1854</v>
      </c>
      <c r="D1861" s="64" t="s">
        <v>4592</v>
      </c>
      <c r="E1861" s="64" t="s">
        <v>4593</v>
      </c>
      <c r="F1861" s="64" t="s">
        <v>4594</v>
      </c>
    </row>
    <row r="1862" spans="3:6">
      <c r="C1862" s="64">
        <v>1855</v>
      </c>
      <c r="D1862" s="64" t="s">
        <v>4595</v>
      </c>
      <c r="E1862" s="64" t="s">
        <v>4596</v>
      </c>
      <c r="F1862" s="64" t="s">
        <v>4597</v>
      </c>
    </row>
    <row r="1863" spans="3:6">
      <c r="C1863" s="64">
        <v>1856</v>
      </c>
      <c r="D1863" s="64" t="s">
        <v>4598</v>
      </c>
      <c r="E1863" s="64" t="s">
        <v>4598</v>
      </c>
      <c r="F1863" s="64" t="s">
        <v>4599</v>
      </c>
    </row>
    <row r="1864" spans="3:6">
      <c r="C1864" s="64">
        <v>1857</v>
      </c>
      <c r="D1864" s="64" t="s">
        <v>4600</v>
      </c>
      <c r="E1864" s="64" t="s">
        <v>4601</v>
      </c>
      <c r="F1864" s="64" t="s">
        <v>4602</v>
      </c>
    </row>
    <row r="1865" spans="3:6">
      <c r="C1865" s="64">
        <v>1858</v>
      </c>
      <c r="E1865" s="64"/>
    </row>
    <row r="1866" spans="3:6">
      <c r="C1866" s="64">
        <v>1859</v>
      </c>
      <c r="D1866" s="64" t="s">
        <v>4603</v>
      </c>
      <c r="E1866" s="64" t="s">
        <v>4603</v>
      </c>
      <c r="F1866" s="64" t="s">
        <v>4604</v>
      </c>
    </row>
    <row r="1867" spans="3:6">
      <c r="C1867" s="64">
        <v>1860</v>
      </c>
      <c r="D1867" s="64" t="s">
        <v>3276</v>
      </c>
      <c r="E1867" s="64" t="s">
        <v>3276</v>
      </c>
      <c r="F1867" s="64" t="s">
        <v>3277</v>
      </c>
    </row>
    <row r="1868" spans="3:6">
      <c r="C1868" s="64">
        <v>1861</v>
      </c>
      <c r="D1868" s="64" t="s">
        <v>4605</v>
      </c>
      <c r="E1868" s="64" t="s">
        <v>4605</v>
      </c>
      <c r="F1868" s="64" t="s">
        <v>4606</v>
      </c>
    </row>
    <row r="1869" spans="3:6">
      <c r="C1869" s="64">
        <v>1862</v>
      </c>
      <c r="D1869" s="64" t="s">
        <v>3847</v>
      </c>
      <c r="E1869" s="64" t="s">
        <v>3847</v>
      </c>
      <c r="F1869" s="64" t="s">
        <v>3849</v>
      </c>
    </row>
    <row r="1870" spans="3:6">
      <c r="C1870" s="64">
        <v>1863</v>
      </c>
      <c r="D1870" s="64" t="s">
        <v>4607</v>
      </c>
      <c r="E1870" s="64" t="s">
        <v>4607</v>
      </c>
      <c r="F1870" s="64" t="s">
        <v>4608</v>
      </c>
    </row>
    <row r="1871" spans="3:6">
      <c r="C1871" s="64">
        <v>1864</v>
      </c>
      <c r="D1871" s="64" t="s">
        <v>4609</v>
      </c>
      <c r="E1871" s="64" t="s">
        <v>4609</v>
      </c>
      <c r="F1871" s="64" t="s">
        <v>4610</v>
      </c>
    </row>
    <row r="1872" spans="3:6">
      <c r="C1872" s="64">
        <v>1865</v>
      </c>
      <c r="D1872" s="64" t="s">
        <v>4611</v>
      </c>
      <c r="E1872" s="64" t="s">
        <v>4611</v>
      </c>
      <c r="F1872" s="64" t="s">
        <v>4611</v>
      </c>
    </row>
    <row r="1873" spans="3:6">
      <c r="C1873" s="64">
        <v>1866</v>
      </c>
      <c r="D1873" s="64" t="s">
        <v>1078</v>
      </c>
      <c r="E1873" s="64" t="s">
        <v>1078</v>
      </c>
      <c r="F1873" s="64" t="s">
        <v>4612</v>
      </c>
    </row>
    <row r="1874" spans="3:6">
      <c r="C1874" s="64">
        <v>1867</v>
      </c>
      <c r="D1874" s="64" t="s">
        <v>4613</v>
      </c>
      <c r="E1874" s="64" t="s">
        <v>4613</v>
      </c>
      <c r="F1874" s="64" t="s">
        <v>4614</v>
      </c>
    </row>
    <row r="1875" spans="3:6">
      <c r="C1875" s="64">
        <v>1868</v>
      </c>
      <c r="D1875" s="64" t="s">
        <v>116</v>
      </c>
      <c r="E1875" s="64" t="s">
        <v>116</v>
      </c>
      <c r="F1875" s="64" t="s">
        <v>4615</v>
      </c>
    </row>
    <row r="1876" spans="3:6">
      <c r="C1876" s="64">
        <v>1869</v>
      </c>
      <c r="D1876" s="64" t="s">
        <v>4616</v>
      </c>
      <c r="E1876" s="64" t="s">
        <v>4616</v>
      </c>
      <c r="F1876" s="64" t="s">
        <v>4617</v>
      </c>
    </row>
    <row r="1877" spans="3:6">
      <c r="C1877" s="64">
        <v>1870</v>
      </c>
      <c r="D1877" s="64" t="s">
        <v>4618</v>
      </c>
      <c r="E1877" s="64" t="s">
        <v>4618</v>
      </c>
      <c r="F1877" s="64" t="s">
        <v>4619</v>
      </c>
    </row>
    <row r="1878" spans="3:6">
      <c r="C1878" s="64">
        <v>1871</v>
      </c>
      <c r="D1878" s="314" t="s">
        <v>4620</v>
      </c>
      <c r="E1878" s="314" t="s">
        <v>4620</v>
      </c>
      <c r="F1878" s="283" t="s">
        <v>4621</v>
      </c>
    </row>
    <row r="1879" spans="3:6">
      <c r="C1879" s="64">
        <v>1872</v>
      </c>
      <c r="D1879" s="64" t="s">
        <v>4622</v>
      </c>
      <c r="E1879" s="64" t="s">
        <v>4622</v>
      </c>
      <c r="F1879" s="64" t="s">
        <v>4623</v>
      </c>
    </row>
    <row r="1880" spans="3:6" ht="25.5">
      <c r="C1880" s="64">
        <v>1873</v>
      </c>
      <c r="D1880" s="64" t="s">
        <v>4624</v>
      </c>
      <c r="E1880" s="64" t="s">
        <v>4625</v>
      </c>
      <c r="F1880" s="64" t="s">
        <v>4626</v>
      </c>
    </row>
    <row r="1881" spans="3:6" ht="25.5">
      <c r="C1881" s="64">
        <v>1874</v>
      </c>
      <c r="D1881" s="283" t="s">
        <v>4627</v>
      </c>
      <c r="E1881" s="64" t="s">
        <v>4628</v>
      </c>
      <c r="F1881" s="283" t="s">
        <v>4629</v>
      </c>
    </row>
    <row r="1882" spans="3:6">
      <c r="C1882" s="64">
        <v>1875</v>
      </c>
      <c r="E1882" s="64"/>
    </row>
    <row r="1883" spans="3:6">
      <c r="C1883" s="64">
        <v>1876</v>
      </c>
      <c r="D1883" s="64" t="s">
        <v>4630</v>
      </c>
      <c r="E1883" s="64" t="s">
        <v>4631</v>
      </c>
      <c r="F1883" s="64" t="s">
        <v>4632</v>
      </c>
    </row>
    <row r="1884" spans="3:6" ht="38.25">
      <c r="C1884" s="64">
        <v>1877</v>
      </c>
      <c r="D1884" s="64" t="s">
        <v>4633</v>
      </c>
      <c r="E1884" s="64" t="s">
        <v>4634</v>
      </c>
      <c r="F1884" s="64" t="s">
        <v>4635</v>
      </c>
    </row>
    <row r="1885" spans="3:6">
      <c r="C1885" s="64">
        <v>1878</v>
      </c>
      <c r="D1885" s="64" t="s">
        <v>4636</v>
      </c>
      <c r="E1885" s="64" t="s">
        <v>4637</v>
      </c>
      <c r="F1885" s="64" t="s">
        <v>4638</v>
      </c>
    </row>
    <row r="1886" spans="3:6" ht="25.5">
      <c r="C1886" s="64">
        <v>1879</v>
      </c>
      <c r="D1886" s="64" t="s">
        <v>4639</v>
      </c>
      <c r="E1886" s="64" t="s">
        <v>4640</v>
      </c>
      <c r="F1886" s="64" t="s">
        <v>4641</v>
      </c>
    </row>
    <row r="1887" spans="3:6">
      <c r="C1887" s="64">
        <v>1880</v>
      </c>
      <c r="D1887" s="64" t="s">
        <v>4642</v>
      </c>
      <c r="E1887" s="64" t="s">
        <v>4643</v>
      </c>
      <c r="F1887" s="64" t="s">
        <v>4644</v>
      </c>
    </row>
    <row r="1888" spans="3:6" ht="25.5">
      <c r="C1888" s="64">
        <v>1881</v>
      </c>
      <c r="D1888" s="64" t="s">
        <v>4645</v>
      </c>
      <c r="E1888" s="64" t="s">
        <v>4646</v>
      </c>
      <c r="F1888" s="64" t="s">
        <v>4647</v>
      </c>
    </row>
    <row r="1889" spans="3:6" ht="25.5">
      <c r="C1889" s="64">
        <v>1882</v>
      </c>
      <c r="D1889" s="64" t="s">
        <v>4648</v>
      </c>
      <c r="E1889" s="64" t="s">
        <v>4649</v>
      </c>
      <c r="F1889" s="64" t="s">
        <v>4650</v>
      </c>
    </row>
  </sheetData>
  <customSheetViews>
    <customSheetView guid="{177A950E-F986-4F9F-BF7A-3EE97148E8BF}" scale="70" showRuler="0">
      <selection activeCell="E978" sqref="E978"/>
      <pageMargins left="0" right="0" top="0" bottom="0" header="0" footer="0"/>
      <pageSetup paperSize="9" orientation="portrait" r:id="rId1"/>
      <headerFooter alignWithMargins="0"/>
    </customSheetView>
    <customSheetView guid="{51EFF3A7-EBAD-4444-AC2F-4C032192BE96}" state="veryHidden" topLeftCell="A1724">
      <selection activeCell="A1723" sqref="A1723"/>
      <pageMargins left="0" right="0" top="0" bottom="0" header="0" footer="0"/>
      <pageSetup paperSize="9" orientation="portrait" r:id="rId2"/>
      <headerFooter alignWithMargins="0"/>
    </customSheetView>
  </customSheetViews>
  <mergeCells count="6">
    <mergeCell ref="C1845:F1845"/>
    <mergeCell ref="D973:E973"/>
    <mergeCell ref="A1:B1"/>
    <mergeCell ref="D901:E901"/>
    <mergeCell ref="D948:E948"/>
    <mergeCell ref="D964:E964"/>
  </mergeCells>
  <phoneticPr fontId="8" type="noConversion"/>
  <dataValidations disablePrompts="1" count="1">
    <dataValidation allowBlank="1" showInputMessage="1" showErrorMessage="1" promptTitle="Debtor classification options" prompt=" " sqref="F1039 F1037 F1041" xr:uid="{00000000-0002-0000-1100-000000000000}"/>
  </dataValidations>
  <hyperlinks>
    <hyperlink ref="D296" location="Def_PartialCommercialUse" display="Partial commercial use" xr:uid="{00000000-0004-0000-1100-000000000000}"/>
    <hyperlink ref="D329" location="Def_InterestRateType" display="8. Interest rate type" xr:uid="{00000000-0004-0000-1100-000001000000}"/>
    <hyperlink ref="D338" location="Def_SelfEmployed" display="Self-employed" xr:uid="{00000000-0004-0000-1100-000002000000}"/>
    <hyperlink ref="D369" location="Def_PartialProvisioning" display="Partial provisioning" xr:uid="{00000000-0004-0000-1100-000003000000}"/>
    <hyperlink ref="D370" location="Def_FullProvisioning" display="Full provisioning" xr:uid="{00000000-0004-0000-1100-000004000000}"/>
    <hyperlink ref="D316" location="Def_Bullet" display="Bullet" xr:uid="{00000000-0004-0000-1100-000005000000}"/>
    <hyperlink ref="E296" location="Def_PartialCommercialUse" display="Partial commercial use" xr:uid="{00000000-0004-0000-1100-000006000000}"/>
    <hyperlink ref="E316" location="Def_Bullet" display="Bullet" xr:uid="{00000000-0004-0000-1100-000007000000}"/>
    <hyperlink ref="E329" location="Def_InterestRateType" display="8. Interest rate type" xr:uid="{00000000-0004-0000-1100-000008000000}"/>
  </hyperlinks>
  <pageMargins left="0.75" right="0.75" top="1" bottom="1" header="0.5" footer="0.5"/>
  <pageSetup paperSize="9" orientation="portrait" r:id="rId3"/>
  <headerFooter alignWithMargins="0"/>
  <drawing r:id="rId4"/>
  <legacyDrawing r:id="rId5"/>
  <controls>
    <mc:AlternateContent xmlns:mc="http://schemas.openxmlformats.org/markup-compatibility/2006">
      <mc:Choice Requires="x14">
        <control shapeId="96259" r:id="rId6" name="CommandButton1">
          <controlPr defaultSize="0" autoLine="0" r:id="rId7">
            <anchor moveWithCells="1" sizeWithCells="1">
              <from>
                <xdr:col>5</xdr:col>
                <xdr:colOff>533400</xdr:colOff>
                <xdr:row>423</xdr:row>
                <xdr:rowOff>0</xdr:rowOff>
              </from>
              <to>
                <xdr:col>6</xdr:col>
                <xdr:colOff>676275</xdr:colOff>
                <xdr:row>423</xdr:row>
                <xdr:rowOff>0</xdr:rowOff>
              </to>
            </anchor>
          </controlPr>
        </control>
      </mc:Choice>
      <mc:Fallback>
        <control shapeId="96259" r:id="rId6" name="CommandButton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 2 0 2 4 - 0 1 - 2 2 T 1 1 : 4 2 : 1 0 . 3 5 5 6 8 9 8 + 0 1 : 0 0 < / L a s t P r o c e s s e d T i m e > < / D a t a M o d e l i n g S a n d b o x . S e r i a l i z e d S a n d b o x E r r o r C a c h e > ] ] > < / C u s t o m C o n t e n t > < / G e m i n i > 
</file>

<file path=customXml/item10.xml>��< ? x m l   v e r s i o n = " 1 . 0 "   e n c o d i n g = " U T F - 1 6 " ? > < G e m i n i   x m l n s = " h t t p : / / g e m i n i / p i v o t c u s t o m i z a t i o n / S h o w I m p l i c i t M e a s u r e s " > < C u s t o m C o n t e n t > < ! [ C D A T A [ F a l s e ] ] > < / C u s t o m C o n t e n t > < / G e m i n i > 
</file>

<file path=customXml/item11.xml>��< ? x m l   v e r s i o n = " 1 . 0 "   e n c o d i n g = " U T F - 1 6 " ? > < G e m i n i   x m l n s = " h t t p : / / g e m i n i / p i v o t c u s t o m i z a t i o n / T a b l e X M L _ C O V E R E D _ B O N D _ C A S H F L O W _ f b c c e 1 5 3 - 7 7 1 4 - 4 5 b 3 - 8 c 3 0 - 9 6 1 9 7 1 b 2 4 9 9 4 " > < 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 D S _ Z U O R D N U N G < / s t r i n g > < / k e y > < v a l u e > < i n t > 1 4 0 < / i n t > < / v a l u e > < / i t e m > < i t e m > < k e y > < s t r i n g > B O N D _ I N T E R E S T _ R A T E _ T Y P E < / s t r i n g > < / k e y > < v a l u e > < i n t > 2 1 0 < / i n t > < / v a l u e > < / i t e m > < i t e m > < k e y > < s t r i n g > Q U A R T E R < / s t r i n g > < / k e y > < v a l u e > < i n t > 9 4 < / i n t > < / v a l u e > < / i t e m > < i t e m > < k e y > < s t r i n g > P R I N C I P A L _ P A I D < / s t r i n g > < / k e y > < v a l u e > < i n t > 1 3 6 < / i n t > < / v a l u e > < / i t e m > < i t e m > < k e y > < s t r i n g > I N T E R E S T _ P A I D < / s t r i n g > < / k e y > < v a l u e > < i n t > 1 2 9 < / i n t > < / v a l u e > < / i t e m > < / C o l u m n W i d t h s > < C o l u m n D i s p l a y I n d e x > < i t e m > < k e y > < s t r i n g > D A T U M < / s t r i n g > < / k e y > < v a l u e > < i n t > 0 < / i n t > < / v a l u e > < / i t e m > < i t e m > < k e y > < s t r i n g > D S _ Z U O R D N U N G < / s t r i n g > < / k e y > < v a l u e > < i n t > 1 < / i n t > < / v a l u e > < / i t e m > < i t e m > < k e y > < s t r i n g > B O N D _ I N T E R E S T _ R A T E _ T Y P E < / s t r i n g > < / k e y > < v a l u e > < i n t > 2 < / i n t > < / v a l u e > < / i t e m > < i t e m > < k e y > < s t r i n g > Q U A R T E R < / s t r i n g > < / k e y > < v a l u e > < i n t > 3 < / i n t > < / v a l u e > < / i t e m > < i t e m > < k e y > < s t r i n g > P R I N C I P A L _ P A I D < / s t r i n g > < / k e y > < v a l u e > < i n t > 4 < / i n t > < / v a l u e > < / i t e m > < i t e m > < k e y > < s t r i n g > I N T E R E S T _ P A I D < / s t r i n g > < / k e y > < v a l u e > < i n t > 5 < / 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L i n k e d T a b l e U p d a t e M o d e " > < C u s t o m C o n t e n t > < ! [ C D A T A [ T r u e ] ] > < / C u s t o m C o n t e n t > < / G e m i n i > 
</file>

<file path=customXml/item13.xml>��< ? x m l   v e r s i o n = " 1 . 0 "   e n c o d i n g = " u t f - 1 6 " ? > < D a t a M a s h u p   s q m i d = " 6 7 6 2 b 7 4 3 - 3 5 6 6 - 4 a 1 d - 9 3 e 9 - 6 6 d f 1 6 d b 3 f 8 1 "   x m l n s = " h t t p : / / s c h e m a s . m i c r o s o f t . c o m / D a t a M a s h u p " > A A A A A B Q D A A B Q S w M E F A A C A A g A 4 n y R W p f I K t u k A A A A 9 g A A A B I A H A B D b 2 5 m a W c v U G F j a 2 F n Z S 5 4 b W w g o h g A K K A U A A A A A A A A A A A A A A A A A A A A A A A A A A A A h Y + x D o I w G I R f h X S n L W U h 5 K f E u E p i o j G u T a n Q A M X Q Y n k 3 B x / J V x C j q J v j 3 X 2 X 3 N 2 v N 8 i n r g 0 u a r C 6 N x m K M E W B M r I v t a k y N L p T m K C c w 1 b I R l Q q m G F j 0 8 n q D N X O n V N C v P f Y x 7 g f K s I o j c i x 2 O x k r T o R a m O d M F K h T 6 v 8 3 0 I c D q 8 x n O E o Z j h m C a Z A F h M K b b 4 A m / c + 0 x 8 T 1 m P r x k H x U o W r P Z B F A n l / 4 A 9 Q S w M E F A A C A A g A 4 n y R 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J 8 k V o o i k e 4 D g A A A B E A A A A T A B w A R m 9 y b X V s Y X M v U 2 V j d G l v b j E u b S C i G A A o o B Q A A A A A A A A A A A A A A A A A A A A A A A A A A A A r T k 0 u y c z P U w i G 0 I b W A F B L A Q I t A B Q A A g A I A O J 8 k V q X y C r b p A A A A P Y A A A A S A A A A A A A A A A A A A A A A A A A A A A B D b 2 5 m a W c v U G F j a 2 F n Z S 5 4 b W x Q S w E C L Q A U A A I A C A D i f J F a D 8 r p q 6 Q A A A D p A A A A E w A A A A A A A A A A A A A A A A D w A A A A W 0 N v b n R l b n R f V H l w Z X N d L n h t b F B L A Q I t A B Q A A g A I A O J 8 k V o o i k e 4 D g A A A B E A A A A T A A A A A A A A A A A A A A A A A O E B A A B G b 3 J t d W x h c y 9 T Z W N 0 a W 9 u M S 5 t U E s F B g A A A A A D A A M A w g A A A D w C A A A A A B E 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m Z h b H N 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j N E y 9 6 7 5 7 k O s f R v 6 i f R t k g A A A A A C A A A A A A A D Z g A A w A A A A B A A A A C T M G 4 d W s V F O W 0 7 X p j n 3 S h Y A A A A A A S A A A C g A A A A E A A A A A v r 1 1 Y q B j o N f b g 9 8 q 6 l e U 9 Q A A A A G A K z Q a P y I 6 w C + K c Q + / 6 u h 1 B R u K y y c F 2 U b M c 1 V K 0 X r U T 3 H l V v U w I s 8 2 T B N A 2 j 5 X D Q g 6 s S L Z 4 J M w H a b e P m V C b 5 W v A E l + F A H h o b B O b n t v W M y m 0 U A A A A X a v l e h q N V + k U s s K P R y F d P w U f 5 K 8 = < / D a t a M a s h u p > 
</file>

<file path=customXml/item14.xml>��< ? x m l   v e r s i o n = " 1 . 0 "   e n c o d i n g = " U T F - 1 6 " ? > < G e m i n i   x m l n s = " h t t p : / / g e m i n i / p i v o t c u s t o m i z a t i o n / T a b l e X M L _ S T A G E _ F X _ R A T E _ 6 1 4 b 4 1 e 9 - c 3 7 6 - 4 9 0 4 - b e 2 3 - d 9 3 c 2 b 7 6 2 8 9 c " > < 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 W A E H R U N G < / s t r i n g > < / k e y > < v a l u e > < i n t > 1 0 9 < / i n t > < / v a l u e > < / i t e m > < i t e m > < k e y > < s t r i n g > M I T T E L K U R S < / s t r i n g > < / k e y > < v a l u e > < i n t > 1 1 1 < / i n t > < / v a l u e > < / i t e m > < / C o l u m n W i d t h s > < C o l u m n D i s p l a y I n d e x > < i t e m > < k e y > < s t r i n g > D A T U M < / s t r i n g > < / k e y > < v a l u e > < i n t > 0 < / i n t > < / v a l u e > < / i t e m > < i t e m > < k e y > < s t r i n g > W A E H R U N G < / s t r i n g > < / k e y > < v a l u e > < i n t > 1 < / i n t > < / v a l u e > < / i t e m > < i t e m > < k e y > < s t r i n g > M I T T E L K U R S < / s t r i n g > < / k e y > < v a l u e > < i n t > 2 < / i n t > < / v a l u e > < / i t e m > < / C o l u m n D i s p l a y I n d e x > < C o l u m n F r o z e n   / > < C o l u m n C h e c k e d   / > < C o l u m n F i l t e r   / > < S e l e c t i o n F i l t e r   / > < F i l t e r P a r a m e t e r s   / > < I s S o r t D e s c e n d i n g > f a l s e < / I s S o r t D e s c e n d i n g > < / T a b l e W i d g e t G r i d S e r i a l i z a t i o n > ] ] > < / C u s t o m C o n t e n t > < / G e m i n i > 
</file>

<file path=customXml/item15.xml><?xml version="1.0" encoding="utf-8"?>
<ct:contentTypeSchema xmlns:ct="http://schemas.microsoft.com/office/2006/metadata/contentType" xmlns:ma="http://schemas.microsoft.com/office/2006/metadata/properties/metaAttributes" ct:_="" ma:_="" ma:contentTypeName="Dokument" ma:contentTypeID="0x01010065D991CD2ADE68439A7A8C1907CD2860" ma:contentTypeVersion="5" ma:contentTypeDescription="Ein neues Dokument erstellen." ma:contentTypeScope="" ma:versionID="4a83af40f29f6651f481b9bd8d110586">
  <xsd:schema xmlns:xsd="http://www.w3.org/2001/XMLSchema" xmlns:xs="http://www.w3.org/2001/XMLSchema" xmlns:p="http://schemas.microsoft.com/office/2006/metadata/properties" xmlns:ns2="8b9960ba-af66-4646-a5ac-6578ee52b2b1" xmlns:ns3="1dc82490-c741-4406-bddd-9ead5a1c3378" targetNamespace="http://schemas.microsoft.com/office/2006/metadata/properties" ma:root="true" ma:fieldsID="771fe895646b7a1389b5dd5f8f5fe4e4" ns2:_="" ns3:_="">
    <xsd:import namespace="8b9960ba-af66-4646-a5ac-6578ee52b2b1"/>
    <xsd:import namespace="1dc82490-c741-4406-bddd-9ead5a1c33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9960ba-af66-4646-a5ac-6578ee52b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c82490-c741-4406-bddd-9ead5a1c337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6.xml>��< ? x m l   v e r s i o n = " 1 . 0 "   e n c o d i n g = " U T F - 1 6 " ? > < G e m i n i   x m l n s = " h t t p : / / g e m i n i / p i v o t c u s t o m i z a t i o n / T a b l e X M L _ C O M M E R C I A L _ L O A N _ 4 c f 6 2 b a e - f 9 e 1 - 4 3 0 6 - 8 0 7 a - f f c b 3 f 5 8 a 4 e 9 " > < 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 L O A N _ I D < / s t r i n g > < / k e y > < v a l u e > < i n t > 9 1 < / i n t > < / v a l u e > < / i t e m > < i t e m > < k e y > < s t r i n g > L O A N _ C U R R E N C Y < / s t r i n g > < / k e y > < v a l u e > < i n t > 1 4 3 < / i n t > < / v a l u e > < / i t e m > < i t e m > < k e y > < s t r i n g > L O A N _ B A L A N C E _ 1 < / s t r i n g > < / k e y > < v a l u e > < i n t > 1 4 9 < / i n t > < / v a l u e > < / i t e m > < i t e m > < k e y > < s t r i n g > L O A N _ B A L A N C E _ 2 < / s t r i n g > < / k e y > < v a l u e > < i n t > 1 4 9 < / i n t > < / v a l u e > < / i t e m > < i t e m > < k e y > < s t r i n g > C O M M I T T E D _ F U R T H E R _ A D V A N C E < / s t r i n g > < / k e y > < v a l u e > < i n t > 2 4 1 < / i n t > < / v a l u e > < / i t e m > < i t e m > < k e y > < s t r i n g > S C H E D U L E D _ L O A N _ B A L A N C E _ A T _ M A T U R I T Y _ 1 < / s t r i n g > < / k e y > < v a l u e > < i n t > 3 1 8 < / i n t > < / v a l u e > < / i t e m > < i t e m > < k e y > < s t r i n g > S C H E D U L E D _ L O A N _ B A L A N C E _ A T _ M A T U R I T Y _ 2 < / s t r i n g > < / k e y > < v a l u e > < i n t > 3 1 8 < / i n t > < / v a l u e > < / i t e m > < i t e m > < k e y > < s t r i n g > R E M A I N I N G _ T E R M _ I N _ M O N T H S < / s t r i n g > < / k e y > < v a l u e > < i n t > 2 3 3 < / i n t > < / v a l u e > < / i t e m > < i t e m > < k e y > < s t r i n g > S C H E D U L E D _ M A T U R I T Y _ D A T E _ O N _ L O A N < / s t r i n g > < / k e y > < v a l u e > < i n t > 2 8 3 < / i n t > < / v a l u e > < / i t e m > < i t e m > < k e y > < s t r i n g > L O A N _ O R I G I N A T I O N _ D A T E < / s t r i n g > < / k e y > < v a l u e > < i n t > 3 4 0 < / i n t > < / v a l u e > < / i t e m > < i t e m > < k e y > < s t r i n g > W H O L E _ L T V < / s t r i n g > < / k e y > < v a l u e > < i n t > 2 6 2 < / i n t > < / v a l u e > < / i t e m > < i t e m > < k e y > < s t r i n g > P R I O R _ R A N K S _ S E C U R E D _ B Y _ P R O P E R T Y < / s t r i n g > < / k e y > < v a l u e > < i n t > 2 7 7 < / i n t > < / v a l u e > < / i t e m > < i t e m > < k e y > < s t r i n g > J U N I O R _ R A N K S < / s t r i n g > < / k e y > < v a l u e > < i n t > 1 3 1 < / i n t > < / v a l u e > < / i t e m > < i t e m > < k e y > < s t r i n g > I N T E R E S T _ R A T E _ T Y P E < / s t r i n g > < / k e y > < v a l u e > < i n t > 1 6 6 < / i n t > < / v a l u e > < / i t e m > < i t e m > < k e y > < s t r i n g > F I X E D _ I N T E R E S T _ R A T E < / s t r i n g > < / k e y > < v a l u e > < i n t > 1 7 2 < / i n t > < / v a l u e > < / i t e m > < i t e m > < k e y > < s t r i n g > I N T E R E S T _ M A R G I N < / s t r i n g > < / k e y > < v a l u e > < i n t > 1 5 2 < / i n t > < / v a l u e > < / i t e m > < i t e m > < k e y > < s t r i n g > B A S I S _ O R _ R E F E R E N C E _ R A T E < / s t r i n g > < / k e y > < v a l u e > < i n t > 2 0 9 < / i n t > < / v a l u e > < / i t e m > < i t e m > < k e y > < s t r i n g > D S C R < / s t r i n g > < / k e y > < v a l u e > < i n t > 6 8 < / i n t > < / v a l u e > < / i t e m > < i t e m > < k e y > < s t r i n g > P R I N C I P A L _ P A Y M E N T _ F R E Q U E N C Y < / s t r i n g > < / k e y > < v a l u e > < i n t > 2 4 5 < / i n t > < / v a l u e > < / i t e m > < i t e m > < k e y > < s t r i n g > P R I N C I P A L _ R E P A Y M E N T _ M E T H O D < / s t r i n g > < / k e y > < v a l u e > < i n t > 2 4 1 < / i n t > < / v a l u e > < / i t e m > < i t e m > < k e y > < s t r i n g > L O A N _ P E R F O R M I N G < / s t r i n g > < / k e y > < v a l u e > < i n t > 1 6 1 < / i n t > < / v a l u e > < / i t e m > < i t e m > < k e y > < s t r i n g > D E B T O R _ I D < / s t r i n g > < / k e y > < v a l u e > < i n t > 1 0 5 < / i n t > < / v a l u e > < / i t e m > < i t e m > < k e y > < s t r i n g > D E B T O R _ N A M E < / s t r i n g > < / k e y > < v a l u e > < i n t > 1 3 0 < / i n t > < / v a l u e > < / i t e m > < i t e m > < k e y > < s t r i n g > D E B T O R _ T Y P E < / s t r i n g > < / k e y > < v a l u e > < i n t > 1 2 1 < / i n t > < / v a l u e > < / i t e m > < i t e m > < k e y > < s t r i n g > R E C O U R S E _ T O _ B O R R O W E R < / s t r i n g > < / k e y > < v a l u e > < i n t > 2 0 3 < / i n t > < / v a l u e > < / i t e m > < i t e m > < k e y > < s t r i n g > P R O P E R T Y _ I D < / s t r i n g > < / k e y > < v a l u e > < i n t > 1 1 9 < / i n t > < / v a l u e > < / i t e m > < i t e m > < k e y > < s t r i n g > V A L U A T I O N _ O F _ P R O P E R T Y _ I N _ D E F A U L T _ C U R R E N C Y < / s t r i n g > < / k e y > < v a l u e > < i n t > 3 5 3 < / i n t > < / v a l u e > < / i t e m > < i t e m > < k e y > < s t r i n g > V A L U A T I O N _ O F _ P R O P E R T Y _ I N _ C U R R E N C Y _ O F _ T H E _ L O A N < / s t r i n g > < / k e y > < v a l u e > < i n t > 3 9 0 < / i n t > < / v a l u e > < / i t e m > < i t e m > < k e y > < s t r i n g > U P D A T E D _ V A L U A T I O N _ O F _ P R O P E R T Y < / s t r i n g > < / k e y > < v a l u e > < i n t > 2 6 5 < / i n t > < / v a l u e > < / i t e m > < i t e m > < k e y > < s t r i n g > D A T E _ O F _ V A L U A T I O N _ U S E D _ F O R _ L T V < / s t r i n g > < / k e y > < v a l u e > < i n t > 2 6 8 < / i n t > < / v a l u e > < / i t e m > < i t e m > < k e y > < s t r i n g > V A L U A T I O N _ T Y P E < / s t r i n g > < / k e y > < v a l u e > < i n t > 1 4 3 < / i n t > < / v a l u e > < / i t e m > < i t e m > < k e y > < s t r i n g > C O U N T R Y _ P R O P E R T Y < / s t r i n g > < / k e y > < v a l u e > < i n t > 1 6 5 < / i n t > < / v a l u e > < / i t e m > < i t e m > < k e y > < s t r i n g > R E G I O N < / s t r i n g > < / k e y > < v a l u e > < i n t > 8 4 < / i n t > < / v a l u e > < / i t e m > < i t e m > < k e y > < s t r i n g > P R O P E R T Y _ T Y P E < / s t r i n g > < / k e y > < v a l u e > < i n t > 1 3 5 < / i n t > < / v a l u e > < / i t e m > < i t e m > < k e y > < s t r i n g > N B R _ O F _ P R O P E R T I E S < / s t r i n g > < / k e y > < v a l u e > < i n t > 1 6 7 < / i n t > < / v a l u e > < / i t e m > < i t e m > < k e y > < s t r i n g > E L I G I B L E < / s t r i n g > < / k e y > < v a l u e > < i n t > 8 7 < / i n t > < / v a l u e > < / i t e m > < i t e m > < k e y > < s t r i n g > P O S T A L _ C O D E < / s t r i n g > < / k e y > < v a l u e > < i n t > 1 2 3 < / i n t > < / v a l u e > < / i t e m > < i t e m > < k e y > < s t r i n g > L O A N _ B A L A N C E _ 3 < / s t r i n g > < / k e y > < v a l u e > < i n t > 1 4 9 < / i n t > < / v a l u e > < / i t e m > < i t e m > < k e y > < s t r i n g > S E A S O N I N G < / s t r i n g > < / k e y > < v a l u e > < i n t > 1 0 9 < / i n t > < / v a l u e > < / i t e m > < i t e m > < k e y > < s t r i n g > R E M A I N I N G _ F I X E D _ I N T E R E S T _ P E R I O D < / s t r i n g > < / k e y > < v a l u e > < i n t > 2 6 8 < / i n t > < / v a l u e > < / i t e m > < i t e m > < k e y > < s t r i n g > B E W E R T U N G _ C L E A N _ E U R < / s t r i n g > < / k e y > < v a l u e > < i n t > 1 9 2 < / i n t > < / v a l u e > < / i t e m > < i t e m > < k e y > < s t r i n g > L O A N _ B A L A N C E _ 4 < / s t r i n g > < / k e y > < v a l u e > < i n t > 1 4 9 < / i n t > < / v a l u e > < / i t e m > < i t e m > < k e y > < s t r i n g > E L I G I B L E _ L T V < / s t r i n g > < / k e y > < v a l u e > < i n t > 1 1 5 < / i n t > < / v a l u e > < / i t e m > < i t e m > < k e y > < s t r i n g > P R I O R _ R A N K S _ S E C U R E D _ B Y _ P R O P E R T Y _ B U C K E T S < / s t r i n g > < / k e y > < v a l u e > < i n t > 3 3 8 < / i n t > < / v a l u e > < / i t e m > < i t e m > < k e y > < s t r i n g > B A S E L 2 _ S E G M E N T < / s t r i n g > < / k e y > < v a l u e > < i n t > 1 4 6 < / i n t > < / v a l u e > < / i t e m > < i t e m > < k e y > < s t r i n g > S A L D O < / s t r i n g > < / k e y > < v a l u e > < i n t > 7 7 < / i n t > < / v a l u e > < / i t e m > < / C o l u m n W i d t h s > < C o l u m n D i s p l a y I n d e x > < i t e m > < k e y > < s t r i n g > D A T U M < / s t r i n g > < / k e y > < v a l u e > < i n t > 0 < / i n t > < / v a l u e > < / i t e m > < i t e m > < k e y > < s t r i n g > I N S T I T U T S Z U O R D N U N G < / s t r i n g > < / k e y > < v a l u e > < i n t > 1 < / i n t > < / v a l u e > < / i t e m > < i t e m > < k e y > < s t r i n g > L O A N _ I D < / s t r i n g > < / k e y > < v a l u e > < i n t > 2 < / i n t > < / v a l u e > < / i t e m > < i t e m > < k e y > < s t r i n g > L O A N _ C U R R E N C Y < / s t r i n g > < / k e y > < v a l u e > < i n t > 3 < / i n t > < / v a l u e > < / i t e m > < i t e m > < k e y > < s t r i n g > L O A N _ B A L A N C E _ 1 < / s t r i n g > < / k e y > < v a l u e > < i n t > 4 < / i n t > < / v a l u e > < / i t e m > < i t e m > < k e y > < s t r i n g > L O A N _ B A L A N C E _ 2 < / s t r i n g > < / k e y > < v a l u e > < i n t > 5 < / i n t > < / v a l u e > < / i t e m > < i t e m > < k e y > < s t r i n g > C O M M I T T E D _ F U R T H E R _ A D V A N C E < / s t r i n g > < / k e y > < v a l u e > < i n t > 6 < / i n t > < / v a l u e > < / i t e m > < i t e m > < k e y > < s t r i n g > S C H E D U L E D _ L O A N _ B A L A N C E _ A T _ M A T U R I T Y _ 1 < / s t r i n g > < / k e y > < v a l u e > < i n t > 7 < / i n t > < / v a l u e > < / i t e m > < i t e m > < k e y > < s t r i n g > S C H E D U L E D _ L O A N _ B A L A N C E _ A T _ M A T U R I T Y _ 2 < / s t r i n g > < / k e y > < v a l u e > < i n t > 8 < / i n t > < / v a l u e > < / i t e m > < i t e m > < k e y > < s t r i n g > R E M A I N I N G _ T E R M _ I N _ M O N T H S < / s t r i n g > < / k e y > < v a l u e > < i n t > 9 < / i n t > < / v a l u e > < / i t e m > < i t e m > < k e y > < s t r i n g > S C H E D U L E D _ M A T U R I T Y _ D A T E _ O N _ L O A N < / s t r i n g > < / k e y > < v a l u e > < i n t > 1 0 < / i n t > < / v a l u e > < / i t e m > < i t e m > < k e y > < s t r i n g > L O A N _ O R I G I N A T I O N _ D A T E < / s t r i n g > < / k e y > < v a l u e > < i n t > 1 1 < / i n t > < / v a l u e > < / i t e m > < i t e m > < k e y > < s t r i n g > W H O L E _ L T V < / s t r i n g > < / k e y > < v a l u e > < i n t > 1 2 < / i n t > < / v a l u e > < / i t e m > < i t e m > < k e y > < s t r i n g > P R I O R _ R A N K S _ S E C U R E D _ B Y _ P R O P E R T Y < / s t r i n g > < / k e y > < v a l u e > < i n t > 1 3 < / i n t > < / v a l u e > < / i t e m > < i t e m > < k e y > < s t r i n g > J U N I O R _ R A N K S < / s t r i n g > < / k e y > < v a l u e > < i n t > 1 4 < / i n t > < / v a l u e > < / i t e m > < i t e m > < k e y > < s t r i n g > I N T E R E S T _ R A T E _ T Y P E < / s t r i n g > < / k e y > < v a l u e > < i n t > 1 5 < / i n t > < / v a l u e > < / i t e m > < i t e m > < k e y > < s t r i n g > F I X E D _ I N T E R E S T _ R A T E < / s t r i n g > < / k e y > < v a l u e > < i n t > 1 6 < / i n t > < / v a l u e > < / i t e m > < i t e m > < k e y > < s t r i n g > I N T E R E S T _ M A R G I N < / s t r i n g > < / k e y > < v a l u e > < i n t > 1 7 < / i n t > < / v a l u e > < / i t e m > < i t e m > < k e y > < s t r i n g > B A S I S _ O R _ R E F E R E N C E _ R A T E < / s t r i n g > < / k e y > < v a l u e > < i n t > 1 8 < / i n t > < / v a l u e > < / i t e m > < i t e m > < k e y > < s t r i n g > D S C R < / s t r i n g > < / k e y > < v a l u e > < i n t > 1 9 < / i n t > < / v a l u e > < / i t e m > < i t e m > < k e y > < s t r i n g > P R I N C I P A L _ P A Y M E N T _ F R E Q U E N C Y < / s t r i n g > < / k e y > < v a l u e > < i n t > 2 0 < / i n t > < / v a l u e > < / i t e m > < i t e m > < k e y > < s t r i n g > P R I N C I P A L _ R E P A Y M E N T _ M E T H O D < / s t r i n g > < / k e y > < v a l u e > < i n t > 2 1 < / i n t > < / v a l u e > < / i t e m > < i t e m > < k e y > < s t r i n g > L O A N _ P E R F O R M I N G < / s t r i n g > < / k e y > < v a l u e > < i n t > 2 2 < / i n t > < / v a l u e > < / i t e m > < i t e m > < k e y > < s t r i n g > D E B T O R _ I D < / s t r i n g > < / k e y > < v a l u e > < i n t > 2 3 < / i n t > < / v a l u e > < / i t e m > < i t e m > < k e y > < s t r i n g > D E B T O R _ N A M E < / s t r i n g > < / k e y > < v a l u e > < i n t > 2 4 < / i n t > < / v a l u e > < / i t e m > < i t e m > < k e y > < s t r i n g > D E B T O R _ T Y P E < / s t r i n g > < / k e y > < v a l u e > < i n t > 2 5 < / i n t > < / v a l u e > < / i t e m > < i t e m > < k e y > < s t r i n g > R E C O U R S E _ T O _ B O R R O W E R < / s t r i n g > < / k e y > < v a l u e > < i n t > 2 6 < / i n t > < / v a l u e > < / i t e m > < i t e m > < k e y > < s t r i n g > P R O P E R T Y _ I D < / s t r i n g > < / k e y > < v a l u e > < i n t > 2 7 < / i n t > < / v a l u e > < / i t e m > < i t e m > < k e y > < s t r i n g > V A L U A T I O N _ O F _ P R O P E R T Y _ I N _ D E F A U L T _ C U R R E N C Y < / s t r i n g > < / k e y > < v a l u e > < i n t > 2 8 < / i n t > < / v a l u e > < / i t e m > < i t e m > < k e y > < s t r i n g > V A L U A T I O N _ O F _ P R O P E R T Y _ I N _ C U R R E N C Y _ O F _ T H E _ L O A N < / s t r i n g > < / k e y > < v a l u e > < i n t > 2 9 < / i n t > < / v a l u e > < / i t e m > < i t e m > < k e y > < s t r i n g > U P D A T E D _ V A L U A T I O N _ O F _ P R O P E R T Y < / s t r i n g > < / k e y > < v a l u e > < i n t > 3 0 < / i n t > < / v a l u e > < / i t e m > < i t e m > < k e y > < s t r i n g > D A T E _ O F _ V A L U A T I O N _ U S E D _ F O R _ L T V < / s t r i n g > < / k e y > < v a l u e > < i n t > 3 1 < / i n t > < / v a l u e > < / i t e m > < i t e m > < k e y > < s t r i n g > V A L U A T I O N _ T Y P E < / s t r i n g > < / k e y > < v a l u e > < i n t > 3 2 < / i n t > < / v a l u e > < / i t e m > < i t e m > < k e y > < s t r i n g > C O U N T R Y _ P R O P E R T Y < / s t r i n g > < / k e y > < v a l u e > < i n t > 3 3 < / i n t > < / v a l u e > < / i t e m > < i t e m > < k e y > < s t r i n g > R E G I O N < / s t r i n g > < / k e y > < v a l u e > < i n t > 3 4 < / i n t > < / v a l u e > < / i t e m > < i t e m > < k e y > < s t r i n g > P R O P E R T Y _ T Y P E < / s t r i n g > < / k e y > < v a l u e > < i n t > 3 5 < / i n t > < / v a l u e > < / i t e m > < i t e m > < k e y > < s t r i n g > N B R _ O F _ P R O P E R T I E S < / s t r i n g > < / k e y > < v a l u e > < i n t > 3 6 < / i n t > < / v a l u e > < / i t e m > < i t e m > < k e y > < s t r i n g > E L I G I B L E < / s t r i n g > < / k e y > < v a l u e > < i n t > 3 7 < / i n t > < / v a l u e > < / i t e m > < i t e m > < k e y > < s t r i n g > P O S T A L _ C O D E < / s t r i n g > < / k e y > < v a l u e > < i n t > 3 8 < / i n t > < / v a l u e > < / i t e m > < i t e m > < k e y > < s t r i n g > L O A N _ B A L A N C E _ 3 < / s t r i n g > < / k e y > < v a l u e > < i n t > 4 2 < / i n t > < / v a l u e > < / i t e m > < i t e m > < k e y > < s t r i n g > S E A S O N I N G < / s t r i n g > < / k e y > < v a l u e > < i n t > 3 9 < / i n t > < / v a l u e > < / i t e m > < i t e m > < k e y > < s t r i n g > R E M A I N I N G _ F I X E D _ I N T E R E S T _ P E R I O D < / s t r i n g > < / k e y > < v a l u e > < i n t > 4 0 < / i n t > < / v a l u e > < / i t e m > < i t e m > < k e y > < s t r i n g > B E W E R T U N G _ C L E A N _ E U R < / s t r i n g > < / k e y > < v a l u e > < i n t > 4 1 < / i n t > < / v a l u e > < / i t e m > < i t e m > < k e y > < s t r i n g > L O A N _ B A L A N C E _ 4 < / s t r i n g > < / k e y > < v a l u e > < i n t > 4 3 < / i n t > < / v a l u e > < / i t e m > < i t e m > < k e y > < s t r i n g > E L I G I B L E _ L T V < / s t r i n g > < / k e y > < v a l u e > < i n t > 4 4 < / i n t > < / v a l u e > < / i t e m > < i t e m > < k e y > < s t r i n g > P R I O R _ R A N K S _ S E C U R E D _ B Y _ P R O P E R T Y _ B U C K E T S < / s t r i n g > < / k e y > < v a l u e > < i n t > 4 5 < / i n t > < / v a l u e > < / i t e m > < i t e m > < k e y > < s t r i n g > B A S E L 2 _ S E G M E N T < / s t r i n g > < / k e y > < v a l u e > < i n t > 4 6 < / i n t > < / v a l u e > < / i t e m > < i t e m > < k e y > < s t r i n g > S A L D O < / s t r i n g > < / k e y > < v a l u e > < i n t > 4 7 < / 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 T a g s \ T a b l e s \ & l t ; T a b l e s \ C O V E R E D _ B O N D & g t ; < / K e y > < / D i a g r a m O b j e c t K e y > < D i a g r a m O b j e c t K e y > < K e y > D y n a m i c   T a g s \ T a b l e s \ & l t ; T a b l e s \ R E S I D E N T I A L _ L O A N & g t ; < / K e y > < / D i a g r a m O b j e c t K e y > < D i a g r a m O b j e c t K e y > < K e y > D y n a m i c   T a g s \ T a b l e s \ & l t ; T a b l e s \ C O M M E R C I A L _ L O A N & g t ; < / K e y > < / D i a g r a m O b j e c t K e y > < D i a g r a m O b j e c t K e y > < K e y > T a b l e s \ C O V E R E D _ B O N D < / K e y > < / D i a g r a m O b j e c t K e y > < D i a g r a m O b j e c t K e y > < K e y > T a b l e s \ C O V E R E D _ B O N D \ C o l u m n s \ D A T U M < / K e y > < / D i a g r a m O b j e c t K e y > < D i a g r a m O b j e c t K e y > < K e y > T a b l e s \ C O V E R E D _ B O N D \ C o l u m n s \ I N S T I T U T S Z U O R D N U N G < / K e y > < / D i a g r a m O b j e c t K e y > < D i a g r a m O b j e c t K e y > < K e y > T a b l e s \ C O V E R E D _ B O N D \ C o l u m n s \ D S _ Z U O R D N U N G < / K e y > < / D i a g r a m O b j e c t K e y > < D i a g r a m O b j e c t K e y > < K e y > T a b l e s \ C O V E R E D _ B O N D \ C o l u m n s \ I S I N < / K e y > < / D i a g r a m O b j e c t K e y > < D i a g r a m O b j e c t K e y > < K e y > T a b l e s \ C O V E R E D _ B O N D \ C o l u m n s \ C U R R E N C Y < / K e y > < / D i a g r a m O b j e c t K e y > < D i a g r a m O b j e c t K e y > < K e y > T a b l e s \ C O V E R E D _ B O N D \ C o l u m n s \ C U R R E N T _ B A L A N C E _ I N _ I S S U E D _ C U R R E N C Y < / K e y > < / D i a g r a m O b j e c t K e y > < D i a g r a m O b j e c t K e y > < K e y > T a b l e s \ C O V E R E D _ B O N D \ C o l u m n s \ C U R R E N T _ B A L A N C E _ I N _ D E F A U L T _ C U R R E N C Y < / K e y > < / D i a g r a m O b j e c t K e y > < D i a g r a m O b j e c t K e y > < K e y > T a b l e s \ C O V E R E D _ B O N D \ C o l u m n s \ E X P E C T E D _ M A T U R I T Y _ D A T E < / K e y > < / D i a g r a m O b j e c t K e y > < D i a g r a m O b j e c t K e y > < K e y > T a b l e s \ C O V E R E D _ B O N D \ C o l u m n s \ E X T E N D E D _ M A T U R I T Y _ D A T E < / K e y > < / D i a g r a m O b j e c t K e y > < D i a g r a m O b j e c t K e y > < K e y > T a b l e s \ C O V E R E D _ B O N D \ C o l u m n s \ N E X T _ I N T E R E S T _ P A Y M E N T _ D A T E < / K e y > < / D i a g r a m O b j e c t K e y > < D i a g r a m O b j e c t K e y > < K e y > T a b l e s \ C O V E R E D _ B O N D \ C o l u m n s \ N E X T _ P R I N C I P A L _ P A Y M E N T _ D A T E < / K e y > < / D i a g r a m O b j e c t K e y > < D i a g r a m O b j e c t K e y > < K e y > T a b l e s \ C O V E R E D _ B O N D \ C o l u m n s \ I N T E R E S T _ P A Y M E N T _ F R E Q U E N C Y < / K e y > < / D i a g r a m O b j e c t K e y > < D i a g r a m O b j e c t K e y > < K e y > T a b l e s \ C O V E R E D _ B O N D \ C o l u m n s \ P R I N C I P A L _ P A Y M E N T _ F R E Q U E N C Y < / K e y > < / D i a g r a m O b j e c t K e y > < D i a g r a m O b j e c t K e y > < K e y > T a b l e s \ C O V E R E D _ B O N D \ C o l u m n s \ P R I N C I P A L _ R E D E M P T I O N _ T Y P E < / K e y > < / D i a g r a m O b j e c t K e y > < D i a g r a m O b j e c t K e y > < K e y > T a b l e s \ C O V E R E D _ B O N D \ C o l u m n s \ I N T E R E S T _ R A T E _ T Y P E < / K e y > < / D i a g r a m O b j e c t K e y > < D i a g r a m O b j e c t K e y > < K e y > T a b l e s \ C O V E R E D _ B O N D \ C o l u m n s \ I N T E R E S T _ R A T E < / K e y > < / D i a g r a m O b j e c t K e y > < D i a g r a m O b j e c t K e y > < K e y > T a b l e s \ C O V E R E D _ B O N D \ C o l u m n s \ I N T E R E S T _ M A R G I N < / K e y > < / D i a g r a m O b j e c t K e y > < D i a g r a m O b j e c t K e y > < K e y > T a b l e s \ C O V E R E D _ B O N D \ C o l u m n s \ B A S I S _ R A T E < / K e y > < / D i a g r a m O b j e c t K e y > < D i a g r a m O b j e c t K e y > < K e y > T a b l e s \ C O V E R E D _ B O N D \ C o l u m n s \ D A T E _ O F _ I S S U A N C E < / K e y > < / D i a g r a m O b j e c t K e y > < D i a g r a m O b j e c t K e y > < K e y > T a b l e s \ C O V E R E D _ B O N D \ C o l u m n s \ S E R I E S _ N U M B E R < / K e y > < / D i a g r a m O b j e c t K e y > < D i a g r a m O b j e c t K e y > < K e y > T a b l e s \ C O V E R E D _ B O N D \ C o l u m n s \ E S G _ B O N D < / K e y > < / D i a g r a m O b j e c t K e y > < D i a g r a m O b j e c t K e y > < K e y > T a b l e s \ C O V E R E D _ B O N D \ C o l u m n s \ S T R U C T U R E D _ F E A T U R E S < / K e y > < / D i a g r a m O b j e c t K e y > < D i a g r a m O b j e c t K e y > < K e y > T a b l e s \ C O V E R E D _ B O N D \ C o l u m n s \ P R I V A T E _ I S S U A N C E < / K e y > < / D i a g r a m O b j e c t K e y > < D i a g r a m O b j e c t K e y > < K e y > T a b l e s \ R E S I D E N T I A L _ L O A N < / K e y > < / D i a g r a m O b j e c t K e y > < D i a g r a m O b j e c t K e y > < K e y > T a b l e s \ R E S I D E N T I A L _ L O A N \ C o l u m n s \ D A T U M < / K e y > < / D i a g r a m O b j e c t K e y > < D i a g r a m O b j e c t K e y > < K e y > T a b l e s \ R E S I D E N T I A L _ L O A N \ C o l u m n s \ I N S T I T U T S Z U O R D N U N G < / K e y > < / D i a g r a m O b j e c t K e y > < D i a g r a m O b j e c t K e y > < K e y > T a b l e s \ R E S I D E N T I A L _ L O A N \ C o l u m n s \ K O N T O N U M M E R < / K e y > < / D i a g r a m O b j e c t K e y > < D i a g r a m O b j e c t K e y > < K e y > T a b l e s \ R E S I D E N T I A L _ L O A N \ C o l u m n s \ S L I C E < / K e y > < / D i a g r a m O b j e c t K e y > < D i a g r a m O b j e c t K e y > < K e y > T a b l e s \ R E S I D E N T I A L _ L O A N \ C o l u m n s \ L T V < / K e y > < / D i a g r a m O b j e c t K e y > < D i a g r a m O b j e c t K e y > < K e y > T a b l e s \ R E S I D E N T I A L _ L O A N \ C o l u m n s \ L T V _ B U C K E T S < / K e y > < / D i a g r a m O b j e c t K e y > < D i a g r a m O b j e c t K e y > < K e y > T a b l e s \ R E S I D E N T I A L _ L O A N \ C o l u m n s \ K U N D E N N U M M E R < / K e y > < / D i a g r a m O b j e c t K e y > < D i a g r a m O b j e c t K e y > < K e y > T a b l e s \ R E S I D E N T I A L _ L O A N \ C o l u m n s \ S E A S O N I N G < / K e y > < / D i a g r a m O b j e c t K e y > < D i a g r a m O b j e c t K e y > < K e y > T a b l e s \ R E S I D E N T I A L _ L O A N \ C o l u m n s \ P U R P O S E _ T Y P E < / K e y > < / D i a g r a m O b j e c t K e y > < D i a g r a m O b j e c t K e y > < K e y > T a b l e s \ R E S I D E N T I A L _ L O A N \ C o l u m n s \ I N T E R E S T _ P A Y M E N T _ F R E Q U E N C Y < / K e y > < / D i a g r a m O b j e c t K e y > < D i a g r a m O b j e c t K e y > < K e y > T a b l e s \ R E S I D E N T I A L _ L O A N \ C o l u m n s \ P R I N C I P A L _ P A Y M E N T _ F R E Q U E N C Y < / K e y > < / D i a g r a m O b j e c t K e y > < D i a g r a m O b j e c t K e y > < K e y > T a b l e s \ R E S I D E N T I A L _ L O A N \ C o l u m n s \ I N T E R E S T _ R A T E _ T Y P E < / K e y > < / D i a g r a m O b j e c t K e y > < D i a g r a m O b j e c t K e y > < K e y > T a b l e s \ R E S I D E N T I A L _ L O A N \ C o l u m n s \ E M P L O Y M E N T _ T Y P E < / K e y > < / D i a g r a m O b j e c t K e y > < D i a g r a m O b j e c t K e y > < K e y > T a b l e s \ R E S I D E N T I A L _ L O A N \ C o l u m n s \ V E R Z U G S T A G E < / K e y > < / D i a g r a m O b j e c t K e y > < D i a g r a m O b j e c t K e y > < K e y > T a b l e s \ R E S I D E N T I A L _ L O A N \ C o l u m n s \ R E G I O N S < / K e y > < / D i a g r a m O b j e c t K e y > < D i a g r a m O b j e c t K e y > < K e y > T a b l e s \ R E S I D E N T I A L _ L O A N \ C o l u m n s \ K U N D _ A D R _ L A N D < / K e y > < / D i a g r a m O b j e c t K e y > < D i a g r a m O b j e c t K e y > < K e y > T a b l e s \ R E S I D E N T I A L _ L O A N \ C o l u m n s \ D A T U M _ F O R M A L I S I E R U N G < / K e y > < / D i a g r a m O b j e c t K e y > < D i a g r a m O b j e c t K e y > < K e y > T a b l e s \ R E S I D E N T I A L _ L O A N \ C o l u m n s \ S E G M E N T < / K e y > < / D i a g r a m O b j e c t K e y > < D i a g r a m O b j e c t K e y > < K e y > T a b l e s \ C O M M E R C I A L _ L O A N < / K e y > < / D i a g r a m O b j e c t K e y > < D i a g r a m O b j e c t K e y > < K e y > T a b l e s \ C O M M E R C I A L _ L O A N \ C o l u m n s \ D A T U M < / K e y > < / D i a g r a m O b j e c t K e y > < D i a g r a m O b j e c t K e y > < K e y > T a b l e s \ C O M M E R C I A L _ L O A N \ C o l u m n s \ I N S T I T U T S Z U O R D N U N G < / K e y > < / D i a g r a m O b j e c t K e y > < D i a g r a m O b j e c t K e y > < K e y > T a b l e s \ C O M M E R C I A L _ L O A N \ C o l u m n s \ L O A N _ I D < / K e y > < / D i a g r a m O b j e c t K e y > < D i a g r a m O b j e c t K e y > < K e y > T a b l e s \ C O M M E R C I A L _ L O A N \ C o l u m n s \ L O A N _ C U R R E N C Y < / K e y > < / D i a g r a m O b j e c t K e y > < D i a g r a m O b j e c t K e y > < K e y > T a b l e s \ C O M M E R C I A L _ L O A N \ C o l u m n s \ L O A N _ B A L A N C E _ 1 < / K e y > < / D i a g r a m O b j e c t K e y > < D i a g r a m O b j e c t K e y > < K e y > T a b l e s \ C O M M E R C I A L _ L O A N \ C o l u m n s \ L O A N _ B A L A N C E _ 2 < / K e y > < / D i a g r a m O b j e c t K e y > < D i a g r a m O b j e c t K e y > < K e y > T a b l e s \ C O M M E R C I A L _ L O A N \ C o l u m n s \ C O M M I T T E D _ F U R T H E R _ A D V A N C E < / K e y > < / D i a g r a m O b j e c t K e y > < D i a g r a m O b j e c t K e y > < K e y > T a b l e s \ C O M M E R C I A L _ L O A N \ C o l u m n s \ S C H E D U L E D _ L O A N _ B A L A N C E _ A T _ M A T U R I T Y _ 1 < / K e y > < / D i a g r a m O b j e c t K e y > < D i a g r a m O b j e c t K e y > < K e y > T a b l e s \ C O M M E R C I A L _ L O A N \ C o l u m n s \ S C H E D U L E D _ L O A N _ B A L A N C E _ A T _ M A T U R I T Y _ 2 < / K e y > < / D i a g r a m O b j e c t K e y > < D i a g r a m O b j e c t K e y > < K e y > T a b l e s \ C O M M E R C I A L _ L O A N \ C o l u m n s \ R E M A I N I N G _ T E R M _ I N _ M O N T H S < / K e y > < / D i a g r a m O b j e c t K e y > < D i a g r a m O b j e c t K e y > < K e y > T a b l e s \ C O M M E R C I A L _ L O A N \ C o l u m n s \ S C H E D U L E D _ M A T U R I T Y _ D A T E _ O N _ L O A N < / K e y > < / D i a g r a m O b j e c t K e y > < D i a g r a m O b j e c t K e y > < K e y > T a b l e s \ C O M M E R C I A L _ L O A N \ C o l u m n s \ L O A N _ O R I G I N A T I O N _ D A T E < / K e y > < / D i a g r a m O b j e c t K e y > < D i a g r a m O b j e c t K e y > < K e y > T a b l e s \ C O M M E R C I A L _ L O A N \ C o l u m n s \ W H O L E _ L T V < / K e y > < / D i a g r a m O b j e c t K e y > < D i a g r a m O b j e c t K e y > < K e y > T a b l e s \ C O M M E R C I A L _ L O A N \ C o l u m n s \ P R I O R _ R A N K S _ S E C U R E D _ B Y _ P R O P E R T Y < / K e y > < / D i a g r a m O b j e c t K e y > < D i a g r a m O b j e c t K e y > < K e y > T a b l e s \ C O M M E R C I A L _ L O A N \ C o l u m n s \ J U N I O R _ R A N K S < / K e y > < / D i a g r a m O b j e c t K e y > < D i a g r a m O b j e c t K e y > < K e y > T a b l e s \ C O M M E R C I A L _ L O A N \ C o l u m n s \ I N T E R E S T _ R A T E _ T Y P E < / K e y > < / D i a g r a m O b j e c t K e y > < D i a g r a m O b j e c t K e y > < K e y > T a b l e s \ C O M M E R C I A L _ L O A N \ C o l u m n s \ F I X E D _ I N T E R E S T _ R A T E < / K e y > < / D i a g r a m O b j e c t K e y > < D i a g r a m O b j e c t K e y > < K e y > T a b l e s \ C O M M E R C I A L _ L O A N \ C o l u m n s \ I N T E R E S T _ M A R G I N < / K e y > < / D i a g r a m O b j e c t K e y > < D i a g r a m O b j e c t K e y > < K e y > T a b l e s \ C O M M E R C I A L _ L O A N \ C o l u m n s \ B A S I S _ O R _ R E F E R E N C E _ R A T E < / K e y > < / D i a g r a m O b j e c t K e y > < D i a g r a m O b j e c t K e y > < K e y > T a b l e s \ C O M M E R C I A L _ L O A N \ C o l u m n s \ D S C R < / K e y > < / D i a g r a m O b j e c t K e y > < D i a g r a m O b j e c t K e y > < K e y > T a b l e s \ C O M M E R C I A L _ L O A N \ C o l u m n s \ P R I N C I P A L _ P A Y M E N T _ F R E Q U E N C Y < / K e y > < / D i a g r a m O b j e c t K e y > < D i a g r a m O b j e c t K e y > < K e y > T a b l e s \ C O M M E R C I A L _ L O A N \ C o l u m n s \ P R I N C I P A L _ R E P A Y M E N T _ M E T H O D < / K e y > < / D i a g r a m O b j e c t K e y > < D i a g r a m O b j e c t K e y > < K e y > T a b l e s \ C O M M E R C I A L _ L O A N \ C o l u m n s \ L O A N _ P E R F O R M I N G < / K e y > < / D i a g r a m O b j e c t K e y > < D i a g r a m O b j e c t K e y > < K e y > T a b l e s \ C O M M E R C I A L _ L O A N \ C o l u m n s \ D E B T O R _ I D < / K e y > < / D i a g r a m O b j e c t K e y > < D i a g r a m O b j e c t K e y > < K e y > T a b l e s \ C O M M E R C I A L _ L O A N \ C o l u m n s \ D E B T O R _ N A M E < / K e y > < / D i a g r a m O b j e c t K e y > < D i a g r a m O b j e c t K e y > < K e y > T a b l e s \ C O M M E R C I A L _ L O A N \ C o l u m n s \ D E B T O R _ T Y P E < / K e y > < / D i a g r a m O b j e c t K e y > < D i a g r a m O b j e c t K e y > < K e y > T a b l e s \ C O M M E R C I A L _ L O A N \ C o l u m n s \ R E C O U R S E _ T O _ B O R R O W E R < / K e y > < / D i a g r a m O b j e c t K e y > < D i a g r a m O b j e c t K e y > < K e y > T a b l e s \ C O M M E R C I A L _ L O A N \ C o l u m n s \ P R O P E R T Y _ I D < / K e y > < / D i a g r a m O b j e c t K e y > < D i a g r a m O b j e c t K e y > < K e y > T a b l e s \ C O M M E R C I A L _ L O A N \ C o l u m n s \ V A L U A T I O N _ O F _ P R O P E R T Y _ I N _ D E F A U L T _ C U R R E N C Y < / K e y > < / D i a g r a m O b j e c t K e y > < D i a g r a m O b j e c t K e y > < K e y > T a b l e s \ C O M M E R C I A L _ L O A N \ C o l u m n s \ V A L U A T I O N _ O F _ P R O P E R T Y _ I N _ C U R R E N C Y _ O F _ T H E _ L O A N < / K e y > < / D i a g r a m O b j e c t K e y > < D i a g r a m O b j e c t K e y > < K e y > T a b l e s \ C O M M E R C I A L _ L O A N \ C o l u m n s \ U P D A T E D _ V A L U A T I O N _ O F _ P R O P E R T Y < / K e y > < / D i a g r a m O b j e c t K e y > < D i a g r a m O b j e c t K e y > < K e y > T a b l e s \ C O M M E R C I A L _ L O A N \ C o l u m n s \ D A T E _ O F _ V A L U A T I O N _ U S E D _ F O R _ L T V < / K e y > < / D i a g r a m O b j e c t K e y > < D i a g r a m O b j e c t K e y > < K e y > T a b l e s \ C O M M E R C I A L _ L O A N \ C o l u m n s \ V A L U A T I O N _ T Y P E < / K e y > < / D i a g r a m O b j e c t K e y > < D i a g r a m O b j e c t K e y > < K e y > T a b l e s \ C O M M E R C I A L _ L O A N \ C o l u m n s \ C O U N T R Y _ P R O P E R T Y < / K e y > < / D i a g r a m O b j e c t K e y > < D i a g r a m O b j e c t K e y > < K e y > T a b l e s \ C O M M E R C I A L _ L O A N \ C o l u m n s \ R E G I O N < / K e y > < / D i a g r a m O b j e c t K e y > < D i a g r a m O b j e c t K e y > < K e y > T a b l e s \ C O M M E R C I A L _ L O A N \ C o l u m n s \ P R O P E R T Y _ T Y P E < / K e y > < / D i a g r a m O b j e c t K e y > < D i a g r a m O b j e c t K e y > < K e y > T a b l e s \ C O M M E R C I A L _ L O A N \ C o l u m n s \ N B R _ O F _ P R O P E R T I E S < / K e y > < / D i a g r a m O b j e c t K e y > < D i a g r a m O b j e c t K e y > < K e y > T a b l e s \ C O M M E R C I A L _ L O A N \ C o l u m n s \ E L I G I B L E < / K e y > < / D i a g r a m O b j e c t K e y > < D i a g r a m O b j e c t K e y > < K e y > T a b l e s \ C O M M E R C I A L _ L O A N \ C o l u m n s \ P O S T A L _ C O D E < / K e y > < / D i a g r a m O b j e c t K e y > < D i a g r a m O b j e c t K e y > < K e y > T a b l e s \ C O M M E R C I A L _ L O A N \ C o l u m n s \ C O N S T R U C T I O N _ S T A G E < / K e y > < / D i a g r a m O b j e c t K e y > < / A l l K e y s > < S e l e c t e d K e y s > < D i a g r a m O b j e c t K e y > < K e y > T a b l e s \ C O M M E R C I A L _ L O A N < / 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 T a g s \ T a b l e s \ & l t ; T a b l e s \ C O V E R E D _ B O N D & g t ; < / K e y > < / a : K e y > < a : V a l u e   i : t y p e = " D i a g r a m D i s p l a y T a g V i e w S t a t e " > < I s N o t F i l t e r e d O u t > t r u e < / I s N o t F i l t e r e d O u t > < / a : V a l u e > < / a : K e y V a l u e O f D i a g r a m O b j e c t K e y a n y T y p e z b w N T n L X > < a : K e y V a l u e O f D i a g r a m O b j e c t K e y a n y T y p e z b w N T n L X > < a : K e y > < K e y > D y n a m i c   T a g s \ T a b l e s \ & l t ; T a b l e s \ R E S I D E N T I A L _ L O A N & g t ; < / K e y > < / a : K e y > < a : V a l u e   i : t y p e = " D i a g r a m D i s p l a y T a g V i e w S t a t e " > < I s N o t F i l t e r e d O u t > t r u e < / I s N o t F i l t e r e d O u t > < / a : V a l u e > < / a : K e y V a l u e O f D i a g r a m O b j e c t K e y a n y T y p e z b w N T n L X > < a : K e y V a l u e O f D i a g r a m O b j e c t K e y a n y T y p e z b w N T n L X > < a : K e y > < K e y > D y n a m i c   T a g s \ T a b l e s \ & l t ; T a b l e s \ C O M M E R C I A L _ L O A N & g t ; < / K e y > < / a : K e y > < a : V a l u e   i : t y p e = " D i a g r a m D i s p l a y T a g V i e w S t a t e " > < I s N o t F i l t e r e d O u t > t r u e < / I s N o t F i l t e r e d O u t > < / a : V a l u e > < / a : K e y V a l u e O f D i a g r a m O b j e c t K e y a n y T y p e z b w N T n L X > < a : K e y V a l u e O f D i a g r a m O b j e c t K e y a n y T y p e z b w N T n L X > < a : K e y > < K e y > T a b l e s \ C O V E R E D _ B O N D < / K e y > < / a : K e y > < a : V a l u e   i : t y p e = " D i a g r a m D i s p l a y N o d e V i e w S t a t e " > < H e i g h t > 4 0 0 < / H e i g h t > < I s E x p a n d e d > t r u e < / I s E x p a n d e d > < L a y e d O u t > t r u e < / L a y e d O u t > < L e f t > 3 2 9 . 9 0 3 8 1 0 5 6 7 6 6 5 8 < / L e f t > < T a b I n d e x > 1 < / T a b I n d e x > < W i d t h > 2 0 0 < / W i d t h > < / a : V a l u e > < / a : K e y V a l u e O f D i a g r a m O b j e c t K e y a n y T y p e z b w N T n L X > < a : K e y V a l u e O f D i a g r a m O b j e c t K e y a n y T y p e z b w N T n L X > < a : K e y > < K e y > T a b l e s \ C O V E R E D _ B O N D \ C o l u m n s \ D A T U M < / K e y > < / a : K e y > < a : V a l u e   i : t y p e = " D i a g r a m D i s p l a y N o d e V i e w S t a t e " > < H e i g h t > 1 5 0 < / H e i g h t > < I s E x p a n d e d > t r u e < / I s E x p a n d e d > < W i d t h > 2 0 0 < / W i d t h > < / a : V a l u e > < / a : K e y V a l u e O f D i a g r a m O b j e c t K e y a n y T y p e z b w N T n L X > < a : K e y V a l u e O f D i a g r a m O b j e c t K e y a n y T y p e z b w N T n L X > < a : K e y > < K e y > T a b l e s \ C O V E R E D _ B O N D \ C o l u m n s \ I N S T I T U T S Z U O R D N U N G < / K e y > < / a : K e y > < a : V a l u e   i : t y p e = " D i a g r a m D i s p l a y N o d e V i e w S t a t e " > < H e i g h t > 1 5 0 < / H e i g h t > < I s E x p a n d e d > t r u e < / I s E x p a n d e d > < W i d t h > 2 0 0 < / W i d t h > < / a : V a l u e > < / a : K e y V a l u e O f D i a g r a m O b j e c t K e y a n y T y p e z b w N T n L X > < a : K e y V a l u e O f D i a g r a m O b j e c t K e y a n y T y p e z b w N T n L X > < a : K e y > < K e y > T a b l e s \ C O V E R E D _ B O N D \ C o l u m n s \ D S _ Z U O R D N U N G < / K e y > < / a : K e y > < a : V a l u e   i : t y p e = " D i a g r a m D i s p l a y N o d e V i e w S t a t e " > < H e i g h t > 1 5 0 < / H e i g h t > < I s E x p a n d e d > t r u e < / I s E x p a n d e d > < W i d t h > 2 0 0 < / W i d t h > < / a : V a l u e > < / a : K e y V a l u e O f D i a g r a m O b j e c t K e y a n y T y p e z b w N T n L X > < a : K e y V a l u e O f D i a g r a m O b j e c t K e y a n y T y p e z b w N T n L X > < a : K e y > < K e y > T a b l e s \ C O V E R E D _ B O N D \ C o l u m n s \ I S I N < / K e y > < / a : K e y > < a : V a l u e   i : t y p e = " D i a g r a m D i s p l a y N o d e V i e w S t a t e " > < H e i g h t > 1 5 0 < / H e i g h t > < I s E x p a n d e d > t r u e < / I s E x p a n d e d > < W i d t h > 2 0 0 < / W i d t h > < / a : V a l u e > < / a : K e y V a l u e O f D i a g r a m O b j e c t K e y a n y T y p e z b w N T n L X > < a : K e y V a l u e O f D i a g r a m O b j e c t K e y a n y T y p e z b w N T n L X > < a : K e y > < K e y > T a b l e s \ C O V E R E D _ B O N D \ C o l u m n s \ C U R R E N C Y < / K e y > < / a : K e y > < a : V a l u e   i : t y p e = " D i a g r a m D i s p l a y N o d e V i e w S t a t e " > < H e i g h t > 1 5 0 < / H e i g h t > < I s E x p a n d e d > t r u e < / I s E x p a n d e d > < W i d t h > 2 0 0 < / W i d t h > < / a : V a l u e > < / a : K e y V a l u e O f D i a g r a m O b j e c t K e y a n y T y p e z b w N T n L X > < a : K e y V a l u e O f D i a g r a m O b j e c t K e y a n y T y p e z b w N T n L X > < a : K e y > < K e y > T a b l e s \ C O V E R E D _ B O N D \ C o l u m n s \ C U R R E N T _ B A L A N C E _ I N _ I S S U E D _ C U R R E N C Y < / K e y > < / a : K e y > < a : V a l u e   i : t y p e = " D i a g r a m D i s p l a y N o d e V i e w S t a t e " > < H e i g h t > 1 5 0 < / H e i g h t > < I s E x p a n d e d > t r u e < / I s E x p a n d e d > < W i d t h > 2 0 0 < / W i d t h > < / a : V a l u e > < / a : K e y V a l u e O f D i a g r a m O b j e c t K e y a n y T y p e z b w N T n L X > < a : K e y V a l u e O f D i a g r a m O b j e c t K e y a n y T y p e z b w N T n L X > < a : K e y > < K e y > T a b l e s \ C O V E R E D _ B O N D \ C o l u m n s \ C U R R E N T _ B A L A N C E _ I N _ D E F A U L T _ C U R R E N C Y < / K e y > < / a : K e y > < a : V a l u e   i : t y p e = " D i a g r a m D i s p l a y N o d e V i e w S t a t e " > < H e i g h t > 1 5 0 < / H e i g h t > < I s E x p a n d e d > t r u e < / I s E x p a n d e d > < W i d t h > 2 0 0 < / W i d t h > < / a : V a l u e > < / a : K e y V a l u e O f D i a g r a m O b j e c t K e y a n y T y p e z b w N T n L X > < a : K e y V a l u e O f D i a g r a m O b j e c t K e y a n y T y p e z b w N T n L X > < a : K e y > < K e y > T a b l e s \ C O V E R E D _ B O N D \ C o l u m n s \ E X P E C T E D _ M A T U R I T Y _ D A T E < / K e y > < / a : K e y > < a : V a l u e   i : t y p e = " D i a g r a m D i s p l a y N o d e V i e w S t a t e " > < H e i g h t > 1 5 0 < / H e i g h t > < I s E x p a n d e d > t r u e < / I s E x p a n d e d > < W i d t h > 2 0 0 < / W i d t h > < / a : V a l u e > < / a : K e y V a l u e O f D i a g r a m O b j e c t K e y a n y T y p e z b w N T n L X > < a : K e y V a l u e O f D i a g r a m O b j e c t K e y a n y T y p e z b w N T n L X > < a : K e y > < K e y > T a b l e s \ C O V E R E D _ B O N D \ C o l u m n s \ E X T E N D E D _ M A T U R I T Y _ D A T E < / K e y > < / a : K e y > < a : V a l u e   i : t y p e = " D i a g r a m D i s p l a y N o d e V i e w S t a t e " > < H e i g h t > 1 5 0 < / H e i g h t > < I s E x p a n d e d > t r u e < / I s E x p a n d e d > < W i d t h > 2 0 0 < / W i d t h > < / a : V a l u e > < / a : K e y V a l u e O f D i a g r a m O b j e c t K e y a n y T y p e z b w N T n L X > < a : K e y V a l u e O f D i a g r a m O b j e c t K e y a n y T y p e z b w N T n L X > < a : K e y > < K e y > T a b l e s \ C O V E R E D _ B O N D \ C o l u m n s \ N E X T _ I N T E R E S T _ P A Y M E N T _ D A T E < / K e y > < / a : K e y > < a : V a l u e   i : t y p e = " D i a g r a m D i s p l a y N o d e V i e w S t a t e " > < H e i g h t > 1 5 0 < / H e i g h t > < I s E x p a n d e d > t r u e < / I s E x p a n d e d > < W i d t h > 2 0 0 < / W i d t h > < / a : V a l u e > < / a : K e y V a l u e O f D i a g r a m O b j e c t K e y a n y T y p e z b w N T n L X > < a : K e y V a l u e O f D i a g r a m O b j e c t K e y a n y T y p e z b w N T n L X > < a : K e y > < K e y > T a b l e s \ C O V E R E D _ B O N D \ C o l u m n s \ N E X T _ P R I N C I P A L _ P A Y M E N T _ D A T E < / K e y > < / a : K e y > < a : V a l u e   i : t y p e = " D i a g r a m D i s p l a y N o d e V i e w S t a t e " > < H e i g h t > 1 5 0 < / H e i g h t > < I s E x p a n d e d > t r u e < / I s E x p a n d e d > < W i d t h > 2 0 0 < / W i d t h > < / a : V a l u e > < / a : K e y V a l u e O f D i a g r a m O b j e c t K e y a n y T y p e z b w N T n L X > < a : K e y V a l u e O f D i a g r a m O b j e c t K e y a n y T y p e z b w N T n L X > < a : K e y > < K e y > T a b l e s \ C O V E R E D _ B O N D \ C o l u m n s \ I N T E R E S T _ P A Y M E N T _ F R E Q U E N C Y < / K e y > < / a : K e y > < a : V a l u e   i : t y p e = " D i a g r a m D i s p l a y N o d e V i e w S t a t e " > < H e i g h t > 1 5 0 < / H e i g h t > < I s E x p a n d e d > t r u e < / I s E x p a n d e d > < W i d t h > 2 0 0 < / W i d t h > < / a : V a l u e > < / a : K e y V a l u e O f D i a g r a m O b j e c t K e y a n y T y p e z b w N T n L X > < a : K e y V a l u e O f D i a g r a m O b j e c t K e y a n y T y p e z b w N T n L X > < a : K e y > < K e y > T a b l e s \ C O V E R E D _ B O N D \ C o l u m n s \ P R I N C I P A L _ P A Y M E N T _ F R E Q U E N C Y < / K e y > < / a : K e y > < a : V a l u e   i : t y p e = " D i a g r a m D i s p l a y N o d e V i e w S t a t e " > < H e i g h t > 1 5 0 < / H e i g h t > < I s E x p a n d e d > t r u e < / I s E x p a n d e d > < W i d t h > 2 0 0 < / W i d t h > < / a : V a l u e > < / a : K e y V a l u e O f D i a g r a m O b j e c t K e y a n y T y p e z b w N T n L X > < a : K e y V a l u e O f D i a g r a m O b j e c t K e y a n y T y p e z b w N T n L X > < a : K e y > < K e y > T a b l e s \ C O V E R E D _ B O N D \ C o l u m n s \ P R I N C I P A L _ R E D E M P T I O N _ T Y P E < / K e y > < / a : K e y > < a : V a l u e   i : t y p e = " D i a g r a m D i s p l a y N o d e V i e w S t a t e " > < H e i g h t > 1 5 0 < / H e i g h t > < I s E x p a n d e d > t r u e < / I s E x p a n d e d > < W i d t h > 2 0 0 < / W i d t h > < / a : V a l u e > < / a : K e y V a l u e O f D i a g r a m O b j e c t K e y a n y T y p e z b w N T n L X > < a : K e y V a l u e O f D i a g r a m O b j e c t K e y a n y T y p e z b w N T n L X > < a : K e y > < K e y > T a b l e s \ C O V E R E D _ B O N D \ C o l u m n s \ I N T E R E S T _ R A T E _ T Y P E < / K e y > < / a : K e y > < a : V a l u e   i : t y p e = " D i a g r a m D i s p l a y N o d e V i e w S t a t e " > < H e i g h t > 1 5 0 < / H e i g h t > < I s E x p a n d e d > t r u e < / I s E x p a n d e d > < W i d t h > 2 0 0 < / W i d t h > < / a : V a l u e > < / a : K e y V a l u e O f D i a g r a m O b j e c t K e y a n y T y p e z b w N T n L X > < a : K e y V a l u e O f D i a g r a m O b j e c t K e y a n y T y p e z b w N T n L X > < a : K e y > < K e y > T a b l e s \ C O V E R E D _ B O N D \ C o l u m n s \ I N T E R E S T _ R A T E < / K e y > < / a : K e y > < a : V a l u e   i : t y p e = " D i a g r a m D i s p l a y N o d e V i e w S t a t e " > < H e i g h t > 1 5 0 < / H e i g h t > < I s E x p a n d e d > t r u e < / I s E x p a n d e d > < W i d t h > 2 0 0 < / W i d t h > < / a : V a l u e > < / a : K e y V a l u e O f D i a g r a m O b j e c t K e y a n y T y p e z b w N T n L X > < a : K e y V a l u e O f D i a g r a m O b j e c t K e y a n y T y p e z b w N T n L X > < a : K e y > < K e y > T a b l e s \ C O V E R E D _ B O N D \ C o l u m n s \ I N T E R E S T _ M A R G I N < / K e y > < / a : K e y > < a : V a l u e   i : t y p e = " D i a g r a m D i s p l a y N o d e V i e w S t a t e " > < H e i g h t > 1 5 0 < / H e i g h t > < I s E x p a n d e d > t r u e < / I s E x p a n d e d > < W i d t h > 2 0 0 < / W i d t h > < / a : V a l u e > < / a : K e y V a l u e O f D i a g r a m O b j e c t K e y a n y T y p e z b w N T n L X > < a : K e y V a l u e O f D i a g r a m O b j e c t K e y a n y T y p e z b w N T n L X > < a : K e y > < K e y > T a b l e s \ C O V E R E D _ B O N D \ C o l u m n s \ B A S I S _ R A T E < / K e y > < / a : K e y > < a : V a l u e   i : t y p e = " D i a g r a m D i s p l a y N o d e V i e w S t a t e " > < H e i g h t > 1 5 0 < / H e i g h t > < I s E x p a n d e d > t r u e < / I s E x p a n d e d > < W i d t h > 2 0 0 < / W i d t h > < / a : V a l u e > < / a : K e y V a l u e O f D i a g r a m O b j e c t K e y a n y T y p e z b w N T n L X > < a : K e y V a l u e O f D i a g r a m O b j e c t K e y a n y T y p e z b w N T n L X > < a : K e y > < K e y > T a b l e s \ C O V E R E D _ B O N D \ C o l u m n s \ D A T E _ O F _ I S S U A N C E < / K e y > < / a : K e y > < a : V a l u e   i : t y p e = " D i a g r a m D i s p l a y N o d e V i e w S t a t e " > < H e i g h t > 1 5 0 < / H e i g h t > < I s E x p a n d e d > t r u e < / I s E x p a n d e d > < W i d t h > 2 0 0 < / W i d t h > < / a : V a l u e > < / a : K e y V a l u e O f D i a g r a m O b j e c t K e y a n y T y p e z b w N T n L X > < a : K e y V a l u e O f D i a g r a m O b j e c t K e y a n y T y p e z b w N T n L X > < a : K e y > < K e y > T a b l e s \ C O V E R E D _ B O N D \ C o l u m n s \ S E R I E S _ N U M B E R < / K e y > < / a : K e y > < a : V a l u e   i : t y p e = " D i a g r a m D i s p l a y N o d e V i e w S t a t e " > < H e i g h t > 1 5 0 < / H e i g h t > < I s E x p a n d e d > t r u e < / I s E x p a n d e d > < W i d t h > 2 0 0 < / W i d t h > < / a : V a l u e > < / a : K e y V a l u e O f D i a g r a m O b j e c t K e y a n y T y p e z b w N T n L X > < a : K e y V a l u e O f D i a g r a m O b j e c t K e y a n y T y p e z b w N T n L X > < a : K e y > < K e y > T a b l e s \ C O V E R E D _ B O N D \ C o l u m n s \ E S G _ B O N D < / K e y > < / a : K e y > < a : V a l u e   i : t y p e = " D i a g r a m D i s p l a y N o d e V i e w S t a t e " > < H e i g h t > 1 5 0 < / H e i g h t > < I s E x p a n d e d > t r u e < / I s E x p a n d e d > < W i d t h > 2 0 0 < / W i d t h > < / a : V a l u e > < / a : K e y V a l u e O f D i a g r a m O b j e c t K e y a n y T y p e z b w N T n L X > < a : K e y V a l u e O f D i a g r a m O b j e c t K e y a n y T y p e z b w N T n L X > < a : K e y > < K e y > T a b l e s \ C O V E R E D _ B O N D \ C o l u m n s \ S T R U C T U R E D _ F E A T U R E S < / K e y > < / a : K e y > < a : V a l u e   i : t y p e = " D i a g r a m D i s p l a y N o d e V i e w S t a t e " > < H e i g h t > 1 5 0 < / H e i g h t > < I s E x p a n d e d > t r u e < / I s E x p a n d e d > < W i d t h > 2 0 0 < / W i d t h > < / a : V a l u e > < / a : K e y V a l u e O f D i a g r a m O b j e c t K e y a n y T y p e z b w N T n L X > < a : K e y V a l u e O f D i a g r a m O b j e c t K e y a n y T y p e z b w N T n L X > < a : K e y > < K e y > T a b l e s \ C O V E R E D _ B O N D \ C o l u m n s \ P R I V A T E _ I S S U A N C E < / K e y > < / a : K e y > < a : V a l u e   i : t y p e = " D i a g r a m D i s p l a y N o d e V i e w S t a t e " > < H e i g h t > 1 5 0 < / H e i g h t > < I s E x p a n d e d > t r u e < / I s E x p a n d e d > < W i d t h > 2 0 0 < / W i d t h > < / a : V a l u e > < / a : K e y V a l u e O f D i a g r a m O b j e c t K e y a n y T y p e z b w N T n L X > < a : K e y V a l u e O f D i a g r a m O b j e c t K e y a n y T y p e z b w N T n L X > < a : K e y > < K e y > T a b l e s \ R E S I D E N T I A L _ L O A N < / K e y > < / a : K e y > < a : V a l u e   i : t y p e = " D i a g r a m D i s p l a y N o d e V i e w S t a t e " > < H e i g h t > 5 6 6 < / H e i g h t > < I s E x p a n d e d > t r u e < / I s E x p a n d e d > < L a y e d O u t > t r u e < / L a y e d O u t > < L e f t > 6 5 9 . 8 0 7 6 2 1 1 3 5 3 3 1 6 < / L e f t > < T a b I n d e x > 2 < / T a b I n d e x > < W i d t h > 2 0 0 < / W i d t h > < / a : V a l u e > < / a : K e y V a l u e O f D i a g r a m O b j e c t K e y a n y T y p e z b w N T n L X > < a : K e y V a l u e O f D i a g r a m O b j e c t K e y a n y T y p e z b w N T n L X > < a : K e y > < K e y > T a b l e s \ R E S I D E N T I A L _ L O A N \ C o l u m n s \ D A T U M < / K e y > < / a : K e y > < a : V a l u e   i : t y p e = " D i a g r a m D i s p l a y N o d e V i e w S t a t e " > < H e i g h t > 1 5 0 < / H e i g h t > < I s E x p a n d e d > t r u e < / I s E x p a n d e d > < W i d t h > 2 0 0 < / W i d t h > < / a : V a l u e > < / a : K e y V a l u e O f D i a g r a m O b j e c t K e y a n y T y p e z b w N T n L X > < a : K e y V a l u e O f D i a g r a m O b j e c t K e y a n y T y p e z b w N T n L X > < a : K e y > < K e y > T a b l e s \ R E S I D E N T I A L _ L O A N \ C o l u m n s \ I N S T I T U T S Z U O R D N U N G < / K e y > < / a : K e y > < a : V a l u e   i : t y p e = " D i a g r a m D i s p l a y N o d e V i e w S t a t e " > < H e i g h t > 1 5 0 < / H e i g h t > < I s E x p a n d e d > t r u e < / I s E x p a n d e d > < W i d t h > 2 0 0 < / W i d t h > < / a : V a l u e > < / a : K e y V a l u e O f D i a g r a m O b j e c t K e y a n y T y p e z b w N T n L X > < a : K e y V a l u e O f D i a g r a m O b j e c t K e y a n y T y p e z b w N T n L X > < a : K e y > < K e y > T a b l e s \ R E S I D E N T I A L _ L O A N \ C o l u m n s \ K O N T O N U M M E R < / K e y > < / a : K e y > < a : V a l u e   i : t y p e = " D i a g r a m D i s p l a y N o d e V i e w S t a t e " > < H e i g h t > 1 5 0 < / H e i g h t > < I s E x p a n d e d > t r u e < / I s E x p a n d e d > < W i d t h > 2 0 0 < / W i d t h > < / a : V a l u e > < / a : K e y V a l u e O f D i a g r a m O b j e c t K e y a n y T y p e z b w N T n L X > < a : K e y V a l u e O f D i a g r a m O b j e c t K e y a n y T y p e z b w N T n L X > < a : K e y > < K e y > T a b l e s \ R E S I D E N T I A L _ L O A N \ C o l u m n s \ S L I C E < / K e y > < / a : K e y > < a : V a l u e   i : t y p e = " D i a g r a m D i s p l a y N o d e V i e w S t a t e " > < H e i g h t > 1 5 0 < / H e i g h t > < I s E x p a n d e d > t r u e < / I s E x p a n d e d > < W i d t h > 2 0 0 < / W i d t h > < / a : V a l u e > < / a : K e y V a l u e O f D i a g r a m O b j e c t K e y a n y T y p e z b w N T n L X > < a : K e y V a l u e O f D i a g r a m O b j e c t K e y a n y T y p e z b w N T n L X > < a : K e y > < K e y > T a b l e s \ R E S I D E N T I A L _ L O A N \ C o l u m n s \ L T V < / K e y > < / a : K e y > < a : V a l u e   i : t y p e = " D i a g r a m D i s p l a y N o d e V i e w S t a t e " > < H e i g h t > 1 5 0 < / H e i g h t > < I s E x p a n d e d > t r u e < / I s E x p a n d e d > < W i d t h > 2 0 0 < / W i d t h > < / a : V a l u e > < / a : K e y V a l u e O f D i a g r a m O b j e c t K e y a n y T y p e z b w N T n L X > < a : K e y V a l u e O f D i a g r a m O b j e c t K e y a n y T y p e z b w N T n L X > < a : K e y > < K e y > T a b l e s \ R E S I D E N T I A L _ L O A N \ C o l u m n s \ L T V _ B U C K E T S < / K e y > < / a : K e y > < a : V a l u e   i : t y p e = " D i a g r a m D i s p l a y N o d e V i e w S t a t e " > < H e i g h t > 1 5 0 < / H e i g h t > < I s E x p a n d e d > t r u e < / I s E x p a n d e d > < W i d t h > 2 0 0 < / W i d t h > < / a : V a l u e > < / a : K e y V a l u e O f D i a g r a m O b j e c t K e y a n y T y p e z b w N T n L X > < a : K e y V a l u e O f D i a g r a m O b j e c t K e y a n y T y p e z b w N T n L X > < a : K e y > < K e y > T a b l e s \ R E S I D E N T I A L _ L O A N \ C o l u m n s \ K U N D E N N U M M E R < / K e y > < / a : K e y > < a : V a l u e   i : t y p e = " D i a g r a m D i s p l a y N o d e V i e w S t a t e " > < H e i g h t > 1 5 0 < / H e i g h t > < I s E x p a n d e d > t r u e < / I s E x p a n d e d > < W i d t h > 2 0 0 < / W i d t h > < / a : V a l u e > < / a : K e y V a l u e O f D i a g r a m O b j e c t K e y a n y T y p e z b w N T n L X > < a : K e y V a l u e O f D i a g r a m O b j e c t K e y a n y T y p e z b w N T n L X > < a : K e y > < K e y > T a b l e s \ R E S I D E N T I A L _ L O A N \ C o l u m n s \ S E A S O N I N G < / K e y > < / a : K e y > < a : V a l u e   i : t y p e = " D i a g r a m D i s p l a y N o d e V i e w S t a t e " > < H e i g h t > 1 5 0 < / H e i g h t > < I s E x p a n d e d > t r u e < / I s E x p a n d e d > < W i d t h > 2 0 0 < / W i d t h > < / a : V a l u e > < / a : K e y V a l u e O f D i a g r a m O b j e c t K e y a n y T y p e z b w N T n L X > < a : K e y V a l u e O f D i a g r a m O b j e c t K e y a n y T y p e z b w N T n L X > < a : K e y > < K e y > T a b l e s \ R E S I D E N T I A L _ L O A N \ C o l u m n s \ P U R P O S E _ T Y P E < / K e y > < / a : K e y > < a : V a l u e   i : t y p e = " D i a g r a m D i s p l a y N o d e V i e w S t a t e " > < H e i g h t > 1 5 0 < / H e i g h t > < I s E x p a n d e d > t r u e < / I s E x p a n d e d > < W i d t h > 2 0 0 < / W i d t h > < / a : V a l u e > < / a : K e y V a l u e O f D i a g r a m O b j e c t K e y a n y T y p e z b w N T n L X > < a : K e y V a l u e O f D i a g r a m O b j e c t K e y a n y T y p e z b w N T n L X > < a : K e y > < K e y > T a b l e s \ R E S I D E N T I A L _ L O A N \ C o l u m n s \ I N T E R E S T _ P A Y M E N T _ F R E Q U E N C Y < / K e y > < / a : K e y > < a : V a l u e   i : t y p e = " D i a g r a m D i s p l a y N o d e V i e w S t a t e " > < H e i g h t > 1 5 0 < / H e i g h t > < I s E x p a n d e d > t r u e < / I s E x p a n d e d > < W i d t h > 2 0 0 < / W i d t h > < / a : V a l u e > < / a : K e y V a l u e O f D i a g r a m O b j e c t K e y a n y T y p e z b w N T n L X > < a : K e y V a l u e O f D i a g r a m O b j e c t K e y a n y T y p e z b w N T n L X > < a : K e y > < K e y > T a b l e s \ R E S I D E N T I A L _ L O A N \ C o l u m n s \ P R I N C I P A L _ P A Y M E N T _ F R E Q U E N C Y < / K e y > < / a : K e y > < a : V a l u e   i : t y p e = " D i a g r a m D i s p l a y N o d e V i e w S t a t e " > < H e i g h t > 1 5 0 < / H e i g h t > < I s E x p a n d e d > t r u e < / I s E x p a n d e d > < W i d t h > 2 0 0 < / W i d t h > < / a : V a l u e > < / a : K e y V a l u e O f D i a g r a m O b j e c t K e y a n y T y p e z b w N T n L X > < a : K e y V a l u e O f D i a g r a m O b j e c t K e y a n y T y p e z b w N T n L X > < a : K e y > < K e y > T a b l e s \ R E S I D E N T I A L _ L O A N \ C o l u m n s \ I N T E R E S T _ R A T E _ T Y P E < / K e y > < / a : K e y > < a : V a l u e   i : t y p e = " D i a g r a m D i s p l a y N o d e V i e w S t a t e " > < H e i g h t > 1 5 0 < / H e i g h t > < I s E x p a n d e d > t r u e < / I s E x p a n d e d > < W i d t h > 2 0 0 < / W i d t h > < / a : V a l u e > < / a : K e y V a l u e O f D i a g r a m O b j e c t K e y a n y T y p e z b w N T n L X > < a : K e y V a l u e O f D i a g r a m O b j e c t K e y a n y T y p e z b w N T n L X > < a : K e y > < K e y > T a b l e s \ R E S I D E N T I A L _ L O A N \ C o l u m n s \ E M P L O Y M E N T _ T Y P E < / K e y > < / a : K e y > < a : V a l u e   i : t y p e = " D i a g r a m D i s p l a y N o d e V i e w S t a t e " > < H e i g h t > 1 5 0 < / H e i g h t > < I s E x p a n d e d > t r u e < / I s E x p a n d e d > < W i d t h > 2 0 0 < / W i d t h > < / a : V a l u e > < / a : K e y V a l u e O f D i a g r a m O b j e c t K e y a n y T y p e z b w N T n L X > < a : K e y V a l u e O f D i a g r a m O b j e c t K e y a n y T y p e z b w N T n L X > < a : K e y > < K e y > T a b l e s \ R E S I D E N T I A L _ L O A N \ C o l u m n s \ V E R Z U G S T A G E < / K e y > < / a : K e y > < a : V a l u e   i : t y p e = " D i a g r a m D i s p l a y N o d e V i e w S t a t e " > < H e i g h t > 1 5 0 < / H e i g h t > < I s E x p a n d e d > t r u e < / I s E x p a n d e d > < W i d t h > 2 0 0 < / W i d t h > < / a : V a l u e > < / a : K e y V a l u e O f D i a g r a m O b j e c t K e y a n y T y p e z b w N T n L X > < a : K e y V a l u e O f D i a g r a m O b j e c t K e y a n y T y p e z b w N T n L X > < a : K e y > < K e y > T a b l e s \ R E S I D E N T I A L _ L O A N \ C o l u m n s \ R E G I O N S < / K e y > < / a : K e y > < a : V a l u e   i : t y p e = " D i a g r a m D i s p l a y N o d e V i e w S t a t e " > < H e i g h t > 1 5 0 < / H e i g h t > < I s E x p a n d e d > t r u e < / I s E x p a n d e d > < W i d t h > 2 0 0 < / W i d t h > < / a : V a l u e > < / a : K e y V a l u e O f D i a g r a m O b j e c t K e y a n y T y p e z b w N T n L X > < a : K e y V a l u e O f D i a g r a m O b j e c t K e y a n y T y p e z b w N T n L X > < a : K e y > < K e y > T a b l e s \ R E S I D E N T I A L _ L O A N \ C o l u m n s \ K U N D _ A D R _ L A N D < / K e y > < / a : K e y > < a : V a l u e   i : t y p e = " D i a g r a m D i s p l a y N o d e V i e w S t a t e " > < H e i g h t > 1 5 0 < / H e i g h t > < I s E x p a n d e d > t r u e < / I s E x p a n d e d > < W i d t h > 2 0 0 < / W i d t h > < / a : V a l u e > < / a : K e y V a l u e O f D i a g r a m O b j e c t K e y a n y T y p e z b w N T n L X > < a : K e y V a l u e O f D i a g r a m O b j e c t K e y a n y T y p e z b w N T n L X > < a : K e y > < K e y > T a b l e s \ R E S I D E N T I A L _ L O A N \ C o l u m n s \ D A T U M _ F O R M A L I S I E R U N G < / K e y > < / a : K e y > < a : V a l u e   i : t y p e = " D i a g r a m D i s p l a y N o d e V i e w S t a t e " > < H e i g h t > 1 5 0 < / H e i g h t > < I s E x p a n d e d > t r u e < / I s E x p a n d e d > < W i d t h > 2 0 0 < / W i d t h > < / a : V a l u e > < / a : K e y V a l u e O f D i a g r a m O b j e c t K e y a n y T y p e z b w N T n L X > < a : K e y V a l u e O f D i a g r a m O b j e c t K e y a n y T y p e z b w N T n L X > < a : K e y > < K e y > T a b l e s \ R E S I D E N T I A L _ L O A N \ C o l u m n s \ S E G M E N T < / K e y > < / a : K e y > < a : V a l u e   i : t y p e = " D i a g r a m D i s p l a y N o d e V i e w S t a t e " > < H e i g h t > 1 5 0 < / H e i g h t > < I s E x p a n d e d > t r u e < / I s E x p a n d e d > < W i d t h > 2 0 0 < / W i d t h > < / a : V a l u e > < / a : K e y V a l u e O f D i a g r a m O b j e c t K e y a n y T y p e z b w N T n L X > < a : K e y V a l u e O f D i a g r a m O b j e c t K e y a n y T y p e z b w N T n L X > < a : K e y > < K e y > T a b l e s \ C O M M E R C I A L _ L O A N < / K e y > < / a : K e y > < a : V a l u e   i : t y p e = " D i a g r a m D i s p l a y N o d e V i e w S t a t e " > < H e i g h t > 8 5 2 < / H e i g h t > < I s E x p a n d e d > t r u e < / I s E x p a n d e d > < I s F o c u s e d > t r u e < / I s F o c u s e d > < L a y e d O u t > t r u e < / L a y e d O u t > < S c r o l l V e r t i c a l O f f s e t > 1 1 . 4 2 0 0 0 0 0 0 0 0 0 0 0 1 6 < / S c r o l l V e r t i c a l O f f s e t > < W i d t h > 2 0 0 < / W i d t h > < / a : V a l u e > < / a : K e y V a l u e O f D i a g r a m O b j e c t K e y a n y T y p e z b w N T n L X > < a : K e y V a l u e O f D i a g r a m O b j e c t K e y a n y T y p e z b w N T n L X > < a : K e y > < K e y > T a b l e s \ C O M M E R C I A L _ L O A N \ C o l u m n s \ D A T U M < / K e y > < / a : K e y > < a : V a l u e   i : t y p e = " D i a g r a m D i s p l a y N o d e V i e w S t a t e " > < H e i g h t > 1 5 0 < / H e i g h t > < I s E x p a n d e d > t r u e < / I s E x p a n d e d > < W i d t h > 2 0 0 < / W i d t h > < / a : V a l u e > < / a : K e y V a l u e O f D i a g r a m O b j e c t K e y a n y T y p e z b w N T n L X > < a : K e y V a l u e O f D i a g r a m O b j e c t K e y a n y T y p e z b w N T n L X > < a : K e y > < K e y > T a b l e s \ C O M M E R C I A L _ L O A N \ C o l u m n s \ I N S T I T U T S Z U O R D N U N G < / K e y > < / a : K e y > < a : V a l u e   i : t y p e = " D i a g r a m D i s p l a y N o d e V i e w S t a t e " > < H e i g h t > 1 5 0 < / H e i g h t > < I s E x p a n d e d > t r u e < / I s E x p a n d e d > < W i d t h > 2 0 0 < / W i d t h > < / a : V a l u e > < / a : K e y V a l u e O f D i a g r a m O b j e c t K e y a n y T y p e z b w N T n L X > < a : K e y V a l u e O f D i a g r a m O b j e c t K e y a n y T y p e z b w N T n L X > < a : K e y > < K e y > T a b l e s \ C O M M E R C I A L _ L O A N \ C o l u m n s \ L O A N _ I D < / K e y > < / a : K e y > < a : V a l u e   i : t y p e = " D i a g r a m D i s p l a y N o d e V i e w S t a t e " > < H e i g h t > 1 5 0 < / H e i g h t > < I s E x p a n d e d > t r u e < / I s E x p a n d e d > < W i d t h > 2 0 0 < / W i d t h > < / a : V a l u e > < / a : K e y V a l u e O f D i a g r a m O b j e c t K e y a n y T y p e z b w N T n L X > < a : K e y V a l u e O f D i a g r a m O b j e c t K e y a n y T y p e z b w N T n L X > < a : K e y > < K e y > T a b l e s \ C O M M E R C I A L _ L O A N \ C o l u m n s \ L O A N _ C U R R E N C Y < / K e y > < / a : K e y > < a : V a l u e   i : t y p e = " D i a g r a m D i s p l a y N o d e V i e w S t a t e " > < H e i g h t > 1 5 0 < / H e i g h t > < I s E x p a n d e d > t r u e < / I s E x p a n d e d > < W i d t h > 2 0 0 < / W i d t h > < / a : V a l u e > < / a : K e y V a l u e O f D i a g r a m O b j e c t K e y a n y T y p e z b w N T n L X > < a : K e y V a l u e O f D i a g r a m O b j e c t K e y a n y T y p e z b w N T n L X > < a : K e y > < K e y > T a b l e s \ C O M M E R C I A L _ L O A N \ C o l u m n s \ L O A N _ B A L A N C E _ 1 < / K e y > < / a : K e y > < a : V a l u e   i : t y p e = " D i a g r a m D i s p l a y N o d e V i e w S t a t e " > < H e i g h t > 1 5 0 < / H e i g h t > < I s E x p a n d e d > t r u e < / I s E x p a n d e d > < W i d t h > 2 0 0 < / W i d t h > < / a : V a l u e > < / a : K e y V a l u e O f D i a g r a m O b j e c t K e y a n y T y p e z b w N T n L X > < a : K e y V a l u e O f D i a g r a m O b j e c t K e y a n y T y p e z b w N T n L X > < a : K e y > < K e y > T a b l e s \ C O M M E R C I A L _ L O A N \ C o l u m n s \ L O A N _ B A L A N C E _ 2 < / K e y > < / a : K e y > < a : V a l u e   i : t y p e = " D i a g r a m D i s p l a y N o d e V i e w S t a t e " > < H e i g h t > 1 5 0 < / H e i g h t > < I s E x p a n d e d > t r u e < / I s E x p a n d e d > < W i d t h > 2 0 0 < / W i d t h > < / a : V a l u e > < / a : K e y V a l u e O f D i a g r a m O b j e c t K e y a n y T y p e z b w N T n L X > < a : K e y V a l u e O f D i a g r a m O b j e c t K e y a n y T y p e z b w N T n L X > < a : K e y > < K e y > T a b l e s \ C O M M E R C I A L _ L O A N \ C o l u m n s \ C O M M I T T E D _ F U R T H E R _ A D V A N C E < / K e y > < / a : K e y > < a : V a l u e   i : t y p e = " D i a g r a m D i s p l a y N o d e V i e w S t a t e " > < H e i g h t > 1 5 0 < / H e i g h t > < I s E x p a n d e d > t r u e < / I s E x p a n d e d > < W i d t h > 2 0 0 < / W i d t h > < / a : V a l u e > < / a : K e y V a l u e O f D i a g r a m O b j e c t K e y a n y T y p e z b w N T n L X > < a : K e y V a l u e O f D i a g r a m O b j e c t K e y a n y T y p e z b w N T n L X > < a : K e y > < K e y > T a b l e s \ C O M M E R C I A L _ L O A N \ C o l u m n s \ S C H E D U L E D _ L O A N _ B A L A N C E _ A T _ M A T U R I T Y _ 1 < / K e y > < / a : K e y > < a : V a l u e   i : t y p e = " D i a g r a m D i s p l a y N o d e V i e w S t a t e " > < H e i g h t > 1 5 0 < / H e i g h t > < I s E x p a n d e d > t r u e < / I s E x p a n d e d > < W i d t h > 2 0 0 < / W i d t h > < / a : V a l u e > < / a : K e y V a l u e O f D i a g r a m O b j e c t K e y a n y T y p e z b w N T n L X > < a : K e y V a l u e O f D i a g r a m O b j e c t K e y a n y T y p e z b w N T n L X > < a : K e y > < K e y > T a b l e s \ C O M M E R C I A L _ L O A N \ C o l u m n s \ S C H E D U L E D _ L O A N _ B A L A N C E _ A T _ M A T U R I T Y _ 2 < / K e y > < / a : K e y > < a : V a l u e   i : t y p e = " D i a g r a m D i s p l a y N o d e V i e w S t a t e " > < H e i g h t > 1 5 0 < / H e i g h t > < I s E x p a n d e d > t r u e < / I s E x p a n d e d > < W i d t h > 2 0 0 < / W i d t h > < / a : V a l u e > < / a : K e y V a l u e O f D i a g r a m O b j e c t K e y a n y T y p e z b w N T n L X > < a : K e y V a l u e O f D i a g r a m O b j e c t K e y a n y T y p e z b w N T n L X > < a : K e y > < K e y > T a b l e s \ C O M M E R C I A L _ L O A N \ C o l u m n s \ R E M A I N I N G _ T E R M _ I N _ M O N T H S < / K e y > < / a : K e y > < a : V a l u e   i : t y p e = " D i a g r a m D i s p l a y N o d e V i e w S t a t e " > < H e i g h t > 1 5 0 < / H e i g h t > < I s E x p a n d e d > t r u e < / I s E x p a n d e d > < W i d t h > 2 0 0 < / W i d t h > < / a : V a l u e > < / a : K e y V a l u e O f D i a g r a m O b j e c t K e y a n y T y p e z b w N T n L X > < a : K e y V a l u e O f D i a g r a m O b j e c t K e y a n y T y p e z b w N T n L X > < a : K e y > < K e y > T a b l e s \ C O M M E R C I A L _ L O A N \ C o l u m n s \ S C H E D U L E D _ M A T U R I T Y _ D A T E _ O N _ L O A N < / K e y > < / a : K e y > < a : V a l u e   i : t y p e = " D i a g r a m D i s p l a y N o d e V i e w S t a t e " > < H e i g h t > 1 5 0 < / H e i g h t > < I s E x p a n d e d > t r u e < / I s E x p a n d e d > < W i d t h > 2 0 0 < / W i d t h > < / a : V a l u e > < / a : K e y V a l u e O f D i a g r a m O b j e c t K e y a n y T y p e z b w N T n L X > < a : K e y V a l u e O f D i a g r a m O b j e c t K e y a n y T y p e z b w N T n L X > < a : K e y > < K e y > T a b l e s \ C O M M E R C I A L _ L O A N \ C o l u m n s \ L O A N _ O R I G I N A T I O N _ D A T E < / K e y > < / a : K e y > < a : V a l u e   i : t y p e = " D i a g r a m D i s p l a y N o d e V i e w S t a t e " > < H e i g h t > 1 5 0 < / H e i g h t > < I s E x p a n d e d > t r u e < / I s E x p a n d e d > < W i d t h > 2 0 0 < / W i d t h > < / a : V a l u e > < / a : K e y V a l u e O f D i a g r a m O b j e c t K e y a n y T y p e z b w N T n L X > < a : K e y V a l u e O f D i a g r a m O b j e c t K e y a n y T y p e z b w N T n L X > < a : K e y > < K e y > T a b l e s \ C O M M E R C I A L _ L O A N \ C o l u m n s \ W H O L E _ L T V < / K e y > < / a : K e y > < a : V a l u e   i : t y p e = " D i a g r a m D i s p l a y N o d e V i e w S t a t e " > < H e i g h t > 1 5 0 < / H e i g h t > < I s E x p a n d e d > t r u e < / I s E x p a n d e d > < W i d t h > 2 0 0 < / W i d t h > < / a : V a l u e > < / a : K e y V a l u e O f D i a g r a m O b j e c t K e y a n y T y p e z b w N T n L X > < a : K e y V a l u e O f D i a g r a m O b j e c t K e y a n y T y p e z b w N T n L X > < a : K e y > < K e y > T a b l e s \ C O M M E R C I A L _ L O A N \ C o l u m n s \ P R I O R _ R A N K S _ S E C U R E D _ B Y _ P R O P E R T Y < / K e y > < / a : K e y > < a : V a l u e   i : t y p e = " D i a g r a m D i s p l a y N o d e V i e w S t a t e " > < H e i g h t > 1 5 0 < / H e i g h t > < I s E x p a n d e d > t r u e < / I s E x p a n d e d > < W i d t h > 2 0 0 < / W i d t h > < / a : V a l u e > < / a : K e y V a l u e O f D i a g r a m O b j e c t K e y a n y T y p e z b w N T n L X > < a : K e y V a l u e O f D i a g r a m O b j e c t K e y a n y T y p e z b w N T n L X > < a : K e y > < K e y > T a b l e s \ C O M M E R C I A L _ L O A N \ C o l u m n s \ J U N I O R _ R A N K S < / K e y > < / a : K e y > < a : V a l u e   i : t y p e = " D i a g r a m D i s p l a y N o d e V i e w S t a t e " > < H e i g h t > 1 5 0 < / H e i g h t > < I s E x p a n d e d > t r u e < / I s E x p a n d e d > < W i d t h > 2 0 0 < / W i d t h > < / a : V a l u e > < / a : K e y V a l u e O f D i a g r a m O b j e c t K e y a n y T y p e z b w N T n L X > < a : K e y V a l u e O f D i a g r a m O b j e c t K e y a n y T y p e z b w N T n L X > < a : K e y > < K e y > T a b l e s \ C O M M E R C I A L _ L O A N \ C o l u m n s \ I N T E R E S T _ R A T E _ T Y P E < / K e y > < / a : K e y > < a : V a l u e   i : t y p e = " D i a g r a m D i s p l a y N o d e V i e w S t a t e " > < H e i g h t > 1 5 0 < / H e i g h t > < I s E x p a n d e d > t r u e < / I s E x p a n d e d > < W i d t h > 2 0 0 < / W i d t h > < / a : V a l u e > < / a : K e y V a l u e O f D i a g r a m O b j e c t K e y a n y T y p e z b w N T n L X > < a : K e y V a l u e O f D i a g r a m O b j e c t K e y a n y T y p e z b w N T n L X > < a : K e y > < K e y > T a b l e s \ C O M M E R C I A L _ L O A N \ C o l u m n s \ F I X E D _ I N T E R E S T _ R A T E < / K e y > < / a : K e y > < a : V a l u e   i : t y p e = " D i a g r a m D i s p l a y N o d e V i e w S t a t e " > < H e i g h t > 1 5 0 < / H e i g h t > < I s E x p a n d e d > t r u e < / I s E x p a n d e d > < W i d t h > 2 0 0 < / W i d t h > < / a : V a l u e > < / a : K e y V a l u e O f D i a g r a m O b j e c t K e y a n y T y p e z b w N T n L X > < a : K e y V a l u e O f D i a g r a m O b j e c t K e y a n y T y p e z b w N T n L X > < a : K e y > < K e y > T a b l e s \ C O M M E R C I A L _ L O A N \ C o l u m n s \ I N T E R E S T _ M A R G I N < / K e y > < / a : K e y > < a : V a l u e   i : t y p e = " D i a g r a m D i s p l a y N o d e V i e w S t a t e " > < H e i g h t > 1 5 0 < / H e i g h t > < I s E x p a n d e d > t r u e < / I s E x p a n d e d > < W i d t h > 2 0 0 < / W i d t h > < / a : V a l u e > < / a : K e y V a l u e O f D i a g r a m O b j e c t K e y a n y T y p e z b w N T n L X > < a : K e y V a l u e O f D i a g r a m O b j e c t K e y a n y T y p e z b w N T n L X > < a : K e y > < K e y > T a b l e s \ C O M M E R C I A L _ L O A N \ C o l u m n s \ B A S I S _ O R _ R E F E R E N C E _ R A T E < / K e y > < / a : K e y > < a : V a l u e   i : t y p e = " D i a g r a m D i s p l a y N o d e V i e w S t a t e " > < H e i g h t > 1 5 0 < / H e i g h t > < I s E x p a n d e d > t r u e < / I s E x p a n d e d > < W i d t h > 2 0 0 < / W i d t h > < / a : V a l u e > < / a : K e y V a l u e O f D i a g r a m O b j e c t K e y a n y T y p e z b w N T n L X > < a : K e y V a l u e O f D i a g r a m O b j e c t K e y a n y T y p e z b w N T n L X > < a : K e y > < K e y > T a b l e s \ C O M M E R C I A L _ L O A N \ C o l u m n s \ D S C R < / K e y > < / a : K e y > < a : V a l u e   i : t y p e = " D i a g r a m D i s p l a y N o d e V i e w S t a t e " > < H e i g h t > 1 5 0 < / H e i g h t > < I s E x p a n d e d > t r u e < / I s E x p a n d e d > < W i d t h > 2 0 0 < / W i d t h > < / a : V a l u e > < / a : K e y V a l u e O f D i a g r a m O b j e c t K e y a n y T y p e z b w N T n L X > < a : K e y V a l u e O f D i a g r a m O b j e c t K e y a n y T y p e z b w N T n L X > < a : K e y > < K e y > T a b l e s \ C O M M E R C I A L _ L O A N \ C o l u m n s \ P R I N C I P A L _ P A Y M E N T _ F R E Q U E N C Y < / K e y > < / a : K e y > < a : V a l u e   i : t y p e = " D i a g r a m D i s p l a y N o d e V i e w S t a t e " > < H e i g h t > 1 5 0 < / H e i g h t > < I s E x p a n d e d > t r u e < / I s E x p a n d e d > < W i d t h > 2 0 0 < / W i d t h > < / a : V a l u e > < / a : K e y V a l u e O f D i a g r a m O b j e c t K e y a n y T y p e z b w N T n L X > < a : K e y V a l u e O f D i a g r a m O b j e c t K e y a n y T y p e z b w N T n L X > < a : K e y > < K e y > T a b l e s \ C O M M E R C I A L _ L O A N \ C o l u m n s \ P R I N C I P A L _ R E P A Y M E N T _ M E T H O D < / K e y > < / a : K e y > < a : V a l u e   i : t y p e = " D i a g r a m D i s p l a y N o d e V i e w S t a t e " > < H e i g h t > 1 5 0 < / H e i g h t > < I s E x p a n d e d > t r u e < / I s E x p a n d e d > < W i d t h > 2 0 0 < / W i d t h > < / a : V a l u e > < / a : K e y V a l u e O f D i a g r a m O b j e c t K e y a n y T y p e z b w N T n L X > < a : K e y V a l u e O f D i a g r a m O b j e c t K e y a n y T y p e z b w N T n L X > < a : K e y > < K e y > T a b l e s \ C O M M E R C I A L _ L O A N \ C o l u m n s \ L O A N _ P E R F O R M I N G < / K e y > < / a : K e y > < a : V a l u e   i : t y p e = " D i a g r a m D i s p l a y N o d e V i e w S t a t e " > < H e i g h t > 1 5 0 < / H e i g h t > < I s E x p a n d e d > t r u e < / I s E x p a n d e d > < W i d t h > 2 0 0 < / W i d t h > < / a : V a l u e > < / a : K e y V a l u e O f D i a g r a m O b j e c t K e y a n y T y p e z b w N T n L X > < a : K e y V a l u e O f D i a g r a m O b j e c t K e y a n y T y p e z b w N T n L X > < a : K e y > < K e y > T a b l e s \ C O M M E R C I A L _ L O A N \ C o l u m n s \ D E B T O R _ I D < / K e y > < / a : K e y > < a : V a l u e   i : t y p e = " D i a g r a m D i s p l a y N o d e V i e w S t a t e " > < H e i g h t > 1 5 0 < / H e i g h t > < I s E x p a n d e d > t r u e < / I s E x p a n d e d > < W i d t h > 2 0 0 < / W i d t h > < / a : V a l u e > < / a : K e y V a l u e O f D i a g r a m O b j e c t K e y a n y T y p e z b w N T n L X > < a : K e y V a l u e O f D i a g r a m O b j e c t K e y a n y T y p e z b w N T n L X > < a : K e y > < K e y > T a b l e s \ C O M M E R C I A L _ L O A N \ C o l u m n s \ D E B T O R _ N A M E < / K e y > < / a : K e y > < a : V a l u e   i : t y p e = " D i a g r a m D i s p l a y N o d e V i e w S t a t e " > < H e i g h t > 1 5 0 < / H e i g h t > < I s E x p a n d e d > t r u e < / I s E x p a n d e d > < W i d t h > 2 0 0 < / W i d t h > < / a : V a l u e > < / a : K e y V a l u e O f D i a g r a m O b j e c t K e y a n y T y p e z b w N T n L X > < a : K e y V a l u e O f D i a g r a m O b j e c t K e y a n y T y p e z b w N T n L X > < a : K e y > < K e y > T a b l e s \ C O M M E R C I A L _ L O A N \ C o l u m n s \ D E B T O R _ T Y P E < / K e y > < / a : K e y > < a : V a l u e   i : t y p e = " D i a g r a m D i s p l a y N o d e V i e w S t a t e " > < H e i g h t > 1 5 0 < / H e i g h t > < I s E x p a n d e d > t r u e < / I s E x p a n d e d > < W i d t h > 2 0 0 < / W i d t h > < / a : V a l u e > < / a : K e y V a l u e O f D i a g r a m O b j e c t K e y a n y T y p e z b w N T n L X > < a : K e y V a l u e O f D i a g r a m O b j e c t K e y a n y T y p e z b w N T n L X > < a : K e y > < K e y > T a b l e s \ C O M M E R C I A L _ L O A N \ C o l u m n s \ R E C O U R S E _ T O _ B O R R O W E R < / K e y > < / a : K e y > < a : V a l u e   i : t y p e = " D i a g r a m D i s p l a y N o d e V i e w S t a t e " > < H e i g h t > 1 5 0 < / H e i g h t > < I s E x p a n d e d > t r u e < / I s E x p a n d e d > < W i d t h > 2 0 0 < / W i d t h > < / a : V a l u e > < / a : K e y V a l u e O f D i a g r a m O b j e c t K e y a n y T y p e z b w N T n L X > < a : K e y V a l u e O f D i a g r a m O b j e c t K e y a n y T y p e z b w N T n L X > < a : K e y > < K e y > T a b l e s \ C O M M E R C I A L _ L O A N \ C o l u m n s \ P R O P E R T Y _ I D < / K e y > < / a : K e y > < a : V a l u e   i : t y p e = " D i a g r a m D i s p l a y N o d e V i e w S t a t e " > < H e i g h t > 1 5 0 < / H e i g h t > < I s E x p a n d e d > t r u e < / I s E x p a n d e d > < W i d t h > 2 0 0 < / W i d t h > < / a : V a l u e > < / a : K e y V a l u e O f D i a g r a m O b j e c t K e y a n y T y p e z b w N T n L X > < a : K e y V a l u e O f D i a g r a m O b j e c t K e y a n y T y p e z b w N T n L X > < a : K e y > < K e y > T a b l e s \ C O M M E R C I A L _ L O A N \ C o l u m n s \ V A L U A T I O N _ O F _ P R O P E R T Y _ I N _ D E F A U L T _ C U R R E N C Y < / K e y > < / a : K e y > < a : V a l u e   i : t y p e = " D i a g r a m D i s p l a y N o d e V i e w S t a t e " > < H e i g h t > 1 5 0 < / H e i g h t > < I s E x p a n d e d > t r u e < / I s E x p a n d e d > < W i d t h > 2 0 0 < / W i d t h > < / a : V a l u e > < / a : K e y V a l u e O f D i a g r a m O b j e c t K e y a n y T y p e z b w N T n L X > < a : K e y V a l u e O f D i a g r a m O b j e c t K e y a n y T y p e z b w N T n L X > < a : K e y > < K e y > T a b l e s \ C O M M E R C I A L _ L O A N \ C o l u m n s \ V A L U A T I O N _ O F _ P R O P E R T Y _ I N _ C U R R E N C Y _ O F _ T H E _ L O A N < / K e y > < / a : K e y > < a : V a l u e   i : t y p e = " D i a g r a m D i s p l a y N o d e V i e w S t a t e " > < H e i g h t > 1 5 0 < / H e i g h t > < I s E x p a n d e d > t r u e < / I s E x p a n d e d > < W i d t h > 2 0 0 < / W i d t h > < / a : V a l u e > < / a : K e y V a l u e O f D i a g r a m O b j e c t K e y a n y T y p e z b w N T n L X > < a : K e y V a l u e O f D i a g r a m O b j e c t K e y a n y T y p e z b w N T n L X > < a : K e y > < K e y > T a b l e s \ C O M M E R C I A L _ L O A N \ C o l u m n s \ U P D A T E D _ V A L U A T I O N _ O F _ P R O P E R T Y < / K e y > < / a : K e y > < a : V a l u e   i : t y p e = " D i a g r a m D i s p l a y N o d e V i e w S t a t e " > < H e i g h t > 1 5 0 < / H e i g h t > < I s E x p a n d e d > t r u e < / I s E x p a n d e d > < W i d t h > 2 0 0 < / W i d t h > < / a : V a l u e > < / a : K e y V a l u e O f D i a g r a m O b j e c t K e y a n y T y p e z b w N T n L X > < a : K e y V a l u e O f D i a g r a m O b j e c t K e y a n y T y p e z b w N T n L X > < a : K e y > < K e y > T a b l e s \ C O M M E R C I A L _ L O A N \ C o l u m n s \ D A T E _ O F _ V A L U A T I O N _ U S E D _ F O R _ L T V < / K e y > < / a : K e y > < a : V a l u e   i : t y p e = " D i a g r a m D i s p l a y N o d e V i e w S t a t e " > < H e i g h t > 1 5 0 < / H e i g h t > < I s E x p a n d e d > t r u e < / I s E x p a n d e d > < W i d t h > 2 0 0 < / W i d t h > < / a : V a l u e > < / a : K e y V a l u e O f D i a g r a m O b j e c t K e y a n y T y p e z b w N T n L X > < a : K e y V a l u e O f D i a g r a m O b j e c t K e y a n y T y p e z b w N T n L X > < a : K e y > < K e y > T a b l e s \ C O M M E R C I A L _ L O A N \ C o l u m n s \ V A L U A T I O N _ T Y P E < / K e y > < / a : K e y > < a : V a l u e   i : t y p e = " D i a g r a m D i s p l a y N o d e V i e w S t a t e " > < H e i g h t > 1 5 0 < / H e i g h t > < I s E x p a n d e d > t r u e < / I s E x p a n d e d > < W i d t h > 2 0 0 < / W i d t h > < / a : V a l u e > < / a : K e y V a l u e O f D i a g r a m O b j e c t K e y a n y T y p e z b w N T n L X > < a : K e y V a l u e O f D i a g r a m O b j e c t K e y a n y T y p e z b w N T n L X > < a : K e y > < K e y > T a b l e s \ C O M M E R C I A L _ L O A N \ C o l u m n s \ C O U N T R Y _ P R O P E R T Y < / K e y > < / a : K e y > < a : V a l u e   i : t y p e = " D i a g r a m D i s p l a y N o d e V i e w S t a t e " > < H e i g h t > 1 5 0 < / H e i g h t > < I s E x p a n d e d > t r u e < / I s E x p a n d e d > < W i d t h > 2 0 0 < / W i d t h > < / a : V a l u e > < / a : K e y V a l u e O f D i a g r a m O b j e c t K e y a n y T y p e z b w N T n L X > < a : K e y V a l u e O f D i a g r a m O b j e c t K e y a n y T y p e z b w N T n L X > < a : K e y > < K e y > T a b l e s \ C O M M E R C I A L _ L O A N \ C o l u m n s \ R E G I O N < / K e y > < / a : K e y > < a : V a l u e   i : t y p e = " D i a g r a m D i s p l a y N o d e V i e w S t a t e " > < H e i g h t > 1 5 0 < / H e i g h t > < I s E x p a n d e d > t r u e < / I s E x p a n d e d > < W i d t h > 2 0 0 < / W i d t h > < / a : V a l u e > < / a : K e y V a l u e O f D i a g r a m O b j e c t K e y a n y T y p e z b w N T n L X > < a : K e y V a l u e O f D i a g r a m O b j e c t K e y a n y T y p e z b w N T n L X > < a : K e y > < K e y > T a b l e s \ C O M M E R C I A L _ L O A N \ C o l u m n s \ P R O P E R T Y _ T Y P E < / K e y > < / a : K e y > < a : V a l u e   i : t y p e = " D i a g r a m D i s p l a y N o d e V i e w S t a t e " > < H e i g h t > 1 5 0 < / H e i g h t > < I s E x p a n d e d > t r u e < / I s E x p a n d e d > < W i d t h > 2 0 0 < / W i d t h > < / a : V a l u e > < / a : K e y V a l u e O f D i a g r a m O b j e c t K e y a n y T y p e z b w N T n L X > < a : K e y V a l u e O f D i a g r a m O b j e c t K e y a n y T y p e z b w N T n L X > < a : K e y > < K e y > T a b l e s \ C O M M E R C I A L _ L O A N \ C o l u m n s \ N B R _ O F _ P R O P E R T I E S < / K e y > < / a : K e y > < a : V a l u e   i : t y p e = " D i a g r a m D i s p l a y N o d e V i e w S t a t e " > < H e i g h t > 1 5 0 < / H e i g h t > < I s E x p a n d e d > t r u e < / I s E x p a n d e d > < W i d t h > 2 0 0 < / W i d t h > < / a : V a l u e > < / a : K e y V a l u e O f D i a g r a m O b j e c t K e y a n y T y p e z b w N T n L X > < a : K e y V a l u e O f D i a g r a m O b j e c t K e y a n y T y p e z b w N T n L X > < a : K e y > < K e y > T a b l e s \ C O M M E R C I A L _ L O A N \ C o l u m n s \ E L I G I B L E < / K e y > < / a : K e y > < a : V a l u e   i : t y p e = " D i a g r a m D i s p l a y N o d e V i e w S t a t e " > < H e i g h t > 1 5 0 < / H e i g h t > < I s E x p a n d e d > t r u e < / I s E x p a n d e d > < W i d t h > 2 0 0 < / W i d t h > < / a : V a l u e > < / a : K e y V a l u e O f D i a g r a m O b j e c t K e y a n y T y p e z b w N T n L X > < a : K e y V a l u e O f D i a g r a m O b j e c t K e y a n y T y p e z b w N T n L X > < a : K e y > < K e y > T a b l e s \ C O M M E R C I A L _ L O A N \ C o l u m n s \ P O S T A L _ C O D E < / K e y > < / a : K e y > < a : V a l u e   i : t y p e = " D i a g r a m D i s p l a y N o d e V i e w S t a t e " > < H e i g h t > 1 5 0 < / H e i g h t > < I s E x p a n d e d > t r u e < / I s E x p a n d e d > < W i d t h > 2 0 0 < / W i d t h > < / a : V a l u e > < / a : K e y V a l u e O f D i a g r a m O b j e c t K e y a n y T y p e z b w N T n L X > < a : K e y V a l u e O f D i a g r a m O b j e c t K e y a n y T y p e z b w N T n L X > < a : K e y > < K e y > T a b l e s \ C O M M E R C I A L _ L O A N \ C o l u m n s \ C O N S T R U C T I O N _ S T A G E < / K e y > < / a : K e y > < a : V a l u e   i : t y p e = " D i a g r a m D i s p l a y N o d e V i e w S t a t e " > < H e i g h t > 1 5 0 < / H e i g h t > < I s E x p a n d e d > t r u e < / I s E x p a n d e d > < W i d t h > 2 0 0 < / W i d t h > < / a : V a l u e > < / a : K e y V a l u e O f D i a g r a m O b j e c t K e y a n y T y p e z b w N T n L X > < / V i e w S t a t e s > < / D i a g r a m M a n a g e r . S e r i a l i z a b l e D i a g r a m > < D i a g r a m M a n a g e r . S e r i a l i z a b l e D i a g r a m > < A d a p t e r   i : t y p e = " M e a s u r e D i a g r a m S a n d b o x A d a p t e r " > < T a b l e N a m e > S T A G E _ F X _ R A T E 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 S T A G E _ F X _ R A T E 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 C o l u m n s \ W A E H R U N G < / K e y > < / D i a g r a m O b j e c t K e y > < D i a g r a m O b j e c t K e y > < K e y > C o l u m n s \ M I T T E L K U R S 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 C o l u m n s \ W A E H R U N G < / K e y > < / a : K e y > < a : V a l u e   i : t y p e = " M e a s u r e G r i d N o d e V i e w S t a t e " > < C o l u m n > 1 < / C o l u m n > < L a y e d O u t > t r u e < / L a y e d O u t > < / a : V a l u e > < / a : K e y V a l u e O f D i a g r a m O b j e c t K e y a n y T y p e z b w N T n L X > < a : K e y V a l u e O f D i a g r a m O b j e c t K e y a n y T y p e z b w N T n L X > < a : K e y > < K e y > C o l u m n s \ M I T T E L K U R S < / K e y > < / a : K e y > < a : V a l u e   i : t y p e = " M e a s u r e G r i d N o d e V i e w S t a t e " > < C o l u m n > 2 < / C o l u m n > < L a y e d O u t > t r u e < / L a y e d O u t > < / a : V a l u e > < / a : K e y V a l u e O f D i a g r a m O b j e c t K e y a n y T y p e z b w N T n L X > < / V i e w S t a t e s > < / D i a g r a m M a n a g e r . S e r i a l i z a b l e D i a g r a m > < D i a g r a m M a n a g e r . S e r i a l i z a b l e D i a g r a m > < A d a p t e r   i : t y p e = " M e a s u r e D i a g r a m S a n d b o x A d a p t e r " > < T a b l e N a m e > D a t a U p d a t e i n f o < / 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 D a t a U p d a t e i n f o < / 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 C o l u m n s \ S t i c h t a g < / K e y > < / D i a g r a m O b j e c t K e y > < D i a g r a m O b j e c t K e y > < K e y > C o l u m n s \ L e t z t e   A k t u a l i s i e r u n g < / 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 C o l u m n s \ S t i c h t a g < / K e y > < / a : K e y > < a : V a l u e   i : t y p e = " M e a s u r e G r i d N o d e V i e w S t a t e " > < L a y e d O u t > t r u e < / L a y e d O u t > < / a : V a l u e > < / a : K e y V a l u e O f D i a g r a m O b j e c t K e y a n y T y p e z b w N T n L X > < a : K e y V a l u e O f D i a g r a m O b j e c t K e y a n y T y p e z b w N T n L X > < a : K e y > < K e y > C o l u m n s \ L e t z t e   A k t u a l i s i e r u n g < / K e y > < / a : K e y > < a : V a l u e   i : t y p e = " M e a s u r e G r i d N o d e V i e w S t a t e " > < C o l u m n > 1 < / C o l u m n > < L a y e d O u t > t r u e < / L a y e d O u t > < / a : V a l u e > < / a : K e y V a l u e O f D i a g r a m O b j e c t K e y a n y T y p e z b w N T n L X > < / V i e w S t a t e s > < / D i a g r a m M a n a g e r . S e r i a l i z a b l e D i a g r a m > < D i a g r a m M a n a g e r . S e r i a l i z a b l e D i a g r a m > < A d a p t e r   i : t y p e = " M e a s u r e D i a g r a m S a n d b o x A d a p t e r " > < T a b l e N a m e > L O A N _ C A S H F L O W 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 L O A N _ C A S H F L O W 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 C o l u m n s \ K Z _ Z E S S I O N _ W I D M U N G < / K e y > < / D i a g r a m O b j e c t K e y > < D i a g r a m O b j e c t K e y > < K e y > C o l u m n s \ L O A N _ I N T E R E S T _ R A T E _ T Y P E < / K e y > < / D i a g r a m O b j e c t K e y > < D i a g r a m O b j e c t K e y > < K e y > C o l u m n s \ Q U A R T E R < / K e y > < / D i a g r a m O b j e c t K e y > < D i a g r a m O b j e c t K e y > < K e y > C o l u m n s \ P R I N C I P A L _ R E C E I V E D < / K e y > < / D i a g r a m O b j e c t K e y > < D i a g r a m O b j e c t K e y > < K e y > C o l u m n s \ I N T E R E S T _ R E C E I V E D 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 C o l u m n s \ K Z _ Z E S S I O N _ W I D M U N G < / K e y > < / a : K e y > < a : V a l u e   i : t y p e = " M e a s u r e G r i d N o d e V i e w S t a t e " > < C o l u m n > 2 < / C o l u m n > < L a y e d O u t > t r u e < / L a y e d O u t > < / a : V a l u e > < / a : K e y V a l u e O f D i a g r a m O b j e c t K e y a n y T y p e z b w N T n L X > < a : K e y V a l u e O f D i a g r a m O b j e c t K e y a n y T y p e z b w N T n L X > < a : K e y > < K e y > C o l u m n s \ L O A N _ I N T E R E S T _ R A T E _ T Y P E < / K e y > < / a : K e y > < a : V a l u e   i : t y p e = " M e a s u r e G r i d N o d e V i e w S t a t e " > < C o l u m n > 3 < / C o l u m n > < L a y e d O u t > t r u e < / L a y e d O u t > < / a : V a l u e > < / a : K e y V a l u e O f D i a g r a m O b j e c t K e y a n y T y p e z b w N T n L X > < a : K e y V a l u e O f D i a g r a m O b j e c t K e y a n y T y p e z b w N T n L X > < a : K e y > < K e y > C o l u m n s \ Q U A R T E R < / K e y > < / a : K e y > < a : V a l u e   i : t y p e = " M e a s u r e G r i d N o d e V i e w S t a t e " > < C o l u m n > 4 < / C o l u m n > < L a y e d O u t > t r u e < / L a y e d O u t > < / a : V a l u e > < / a : K e y V a l u e O f D i a g r a m O b j e c t K e y a n y T y p e z b w N T n L X > < a : K e y V a l u e O f D i a g r a m O b j e c t K e y a n y T y p e z b w N T n L X > < a : K e y > < K e y > C o l u m n s \ P R I N C I P A L _ R E C E I V E D < / K e y > < / a : K e y > < a : V a l u e   i : t y p e = " M e a s u r e G r i d N o d e V i e w S t a t e " > < C o l u m n > 5 < / C o l u m n > < L a y e d O u t > t r u e < / L a y e d O u t > < / a : V a l u e > < / a : K e y V a l u e O f D i a g r a m O b j e c t K e y a n y T y p e z b w N T n L X > < a : K e y V a l u e O f D i a g r a m O b j e c t K e y a n y T y p e z b w N T n L X > < a : K e y > < K e y > C o l u m n s \ I N T E R E S T _ R E C E I V E D < / K e y > < / a : K e y > < a : V a l u e   i : t y p e = " M e a s u r e G r i d N o d e V i e w S t a t e " > < C o l u m n > 6 < / C o l u m n > < L a y e d O u t > t r u e < / L a y e d O u t > < / a : V a l u e > < / a : K e y V a l u e O f D i a g r a m O b j e c t K e y a n y T y p e z b w N T n L X > < / V i e w S t a t e s > < / D i a g r a m M a n a g e r . S e r i a l i z a b l e D i a g r a m > < D i a g r a m M a n a g e r . S e r i a l i z a b l e D i a g r a m > < A d a p t e r   i : t y p e = " M e a s u r e D i a g r a m S a n d b o x A d a p t e r " > < T a b l e N a m e > C O V E R E D _ B O N D _ C A S H F L O W 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 C o l u m n s \ D S _ Z U O R D N U N G < / K e y > < / D i a g r a m O b j e c t K e y > < D i a g r a m O b j e c t K e y > < K e y > C o l u m n s \ B O N D _ I N T E R E S T _ R A T E _ T Y P E < / K e y > < / D i a g r a m O b j e c t K e y > < D i a g r a m O b j e c t K e y > < K e y > C o l u m n s \ Q U A R T E R < / K e y > < / D i a g r a m O b j e c t K e y > < D i a g r a m O b j e c t K e y > < K e y > C o l u m n s \ P R I N C I P A L _ P A I D < / K e y > < / D i a g r a m O b j e c t K e y > < D i a g r a m O b j e c t K e y > < K e y > C o l u m n s \ I N T E R E S T _ P A I D 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 C o l u m n s \ B O N D _ I N T E R E S T _ R A T E _ T Y P E < / K e y > < / a : K e y > < a : V a l u e   i : t y p e = " M e a s u r e G r i d N o d e V i e w S t a t e " > < C o l u m n > 2 < / C o l u m n > < L a y e d O u t > t r u e < / L a y e d O u t > < / a : V a l u e > < / a : K e y V a l u e O f D i a g r a m O b j e c t K e y a n y T y p e z b w N T n L X > < a : K e y V a l u e O f D i a g r a m O b j e c t K e y a n y T y p e z b w N T n L X > < a : K e y > < K e y > C o l u m n s \ Q U A R T E R < / K e y > < / a : K e y > < a : V a l u e   i : t y p e = " M e a s u r e G r i d N o d e V i e w S t a t e " > < C o l u m n > 3 < / C o l u m n > < L a y e d O u t > t r u e < / L a y e d O u t > < / a : V a l u e > < / a : K e y V a l u e O f D i a g r a m O b j e c t K e y a n y T y p e z b w N T n L X > < a : K e y V a l u e O f D i a g r a m O b j e c t K e y a n y T y p e z b w N T n L X > < a : K e y > < K e y > C o l u m n s \ P R I N C I P A L _ P A I D < / K e y > < / a : K e y > < a : V a l u e   i : t y p e = " M e a s u r e G r i d N o d e V i e w S t a t e " > < C o l u m n > 4 < / C o l u m n > < L a y e d O u t > t r u e < / L a y e d O u t > < / a : V a l u e > < / a : K e y V a l u e O f D i a g r a m O b j e c t K e y a n y T y p e z b w N T n L X > < a : K e y V a l u e O f D i a g r a m O b j e c t K e y a n y T y p e z b w N T n L X > < a : K e y > < K e y > C o l u m n s \ I N T E R E S T _ P A I D < / K e y > < / a : K e y > < a : V a l u e   i : t y p e = " M e a s u r e G r i d N o d e V i e w S t a t e " > < C o l u m n > 5 < / C o l u m n > < L a y e d O u t > t r u e < / L a y e d O u t > < / a : V a l u e > < / a : K e y V a l u e O f D i a g r a m O b j e c t K e y a n y T y p e z b w N T n L X > < / V i e w S t a t e s > < / D i a g r a m M a n a g e r . S e r i a l i z a b l e D i a g r a m > < D i a g r a m M a n a g e r . S e r i a l i z a b l e D i a g r a m > < A d a p t e r   i : t y p e = " M e a s u r e D i a g r a m S a n d b o x A d a p t e r " > < T a b l e N a m e > R E S I D E N T I A L _ L O A N 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 R E S I D E N T I A L _ L O A N 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 C o l u m n s \ K O N T O N U M M E R < / K e y > < / D i a g r a m O b j e c t K e y > < D i a g r a m O b j e c t K e y > < K e y > C o l u m n s \ S E G M E N T < / K e y > < / D i a g r a m O b j e c t K e y > < D i a g r a m O b j e c t K e y > < K e y > C o l u m n s \ S L I C E < / K e y > < / D i a g r a m O b j e c t K e y > < D i a g r a m O b j e c t K e y > < K e y > C o l u m n s \ L T V < / K e y > < / D i a g r a m O b j e c t K e y > < D i a g r a m O b j e c t K e y > < K e y > C o l u m n s \ L T V _ B U C K E T < / K e y > < / D i a g r a m O b j e c t K e y > < D i a g r a m O b j e c t K e y > < K e y > C o l u m n s \ K U N D E N N U M M E R < / K e y > < / D i a g r a m O b j e c t K e y > < D i a g r a m O b j e c t K e y > < K e y > C o l u m n s \ S E A S O N I N G < / K e y > < / D i a g r a m O b j e c t K e y > < D i a g r a m O b j e c t K e y > < K e y > C o l u m n s \ S E A S O N I N G _ B U C K E T < / K e y > < / D i a g r a m O b j e c t K e y > < D i a g r a m O b j e c t K e y > < K e y > C o l u m n s \ R E M A I N I N G _ T E R M < / K e y > < / D i a g r a m O b j e c t K e y > < D i a g r a m O b j e c t K e y > < K e y > C o l u m n s \ P U R P O S E _ T Y P E < / K e y > < / D i a g r a m O b j e c t K e y > < D i a g r a m O b j e c t K e y > < K e y > C o l u m n s \ I N T E R E S T _ P A Y M E N T _ F R E Q U E N C Y < / K e y > < / D i a g r a m O b j e c t K e y > < D i a g r a m O b j e c t K e y > < K e y > C o l u m n s \ P R I N C I P A L _ P A Y M E N T _ F R E Q U E N C Y < / K e y > < / D i a g r a m O b j e c t K e y > < D i a g r a m O b j e c t K e y > < K e y > C o l u m n s \ I N T E R E S T _ R A T E _ T Y P E < / K e y > < / D i a g r a m O b j e c t K e y > < D i a g r a m O b j e c t K e y > < K e y > C o l u m n s \ F I X E D _ I N T E R E S T _ R A T E < / K e y > < / D i a g r a m O b j e c t K e y > < D i a g r a m O b j e c t K e y > < K e y > C o l u m n s \ I N T E R E S T _ M A R G I N < / K e y > < / D i a g r a m O b j e c t K e y > < D i a g r a m O b j e c t K e y > < K e y > C o l u m n s \ E M P L O Y M E N T _ T Y P E < / K e y > < / D i a g r a m O b j e c t K e y > < D i a g r a m O b j e c t K e y > < K e y > C o l u m n s \ V E R Z U G S T A G E < / K e y > < / D i a g r a m O b j e c t K e y > < D i a g r a m O b j e c t K e y > < K e y > C o l u m n s \ R E G I O N S < / K e y > < / D i a g r a m O b j e c t K e y > < D i a g r a m O b j e c t K e y > < K e y > C o l u m n s \ N H G _ G U A R A N T E E D < / K e y > < / D i a g r a m O b j e c t K e y > < D i a g r a m O b j e c t K e y > < K e y > C o l u m n s \ P R O P E R T Y _ T Y P E < / K e y > < / D i a g r a m O b j e c t K e y > < D i a g r a m O b j e c t K e y > < K e y > C o l u m n s \ O C C U P A N C Y _ T Y P E < / K e y > < / D i a g r a m O b j e c t K e y > < D i a g r a m O b j e c t K e y > < K e y > C o l u m n s \ R E M A I N I N G _ F I X E D _ I N T E R E S T _ P E R I O D < / K e y > < / D i a g r a m O b j e c t K e y > < D i a g r a m O b j e c t K e y > < K e y > C o l u m n s \ N B R _ O F _ P R O P E R T I E S < / K e y > < / D i a g r a m O b j e c t K e y > < D i a g r a m O b j e c t K e y > < K e y > C o l u m n s \ P R I O R _ R A N K S _ S E C U R E D _ B Y _ P R O P E R T Y < / K e y > < / D i a g r a m O b j e c t K e y > < D i a g r a m O b j e c t K e y > < K e y > C o l u m n s \ S A L D O < / 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 C o l u m n s \ K O N T O N U M M E R < / K e y > < / a : K e y > < a : V a l u e   i : t y p e = " M e a s u r e G r i d N o d e V i e w S t a t e " > < C o l u m n > 2 < / C o l u m n > < L a y e d O u t > t r u e < / L a y e d O u t > < / a : V a l u e > < / a : K e y V a l u e O f D i a g r a m O b j e c t K e y a n y T y p e z b w N T n L X > < a : K e y V a l u e O f D i a g r a m O b j e c t K e y a n y T y p e z b w N T n L X > < a : K e y > < K e y > C o l u m n s \ S E G M E N T < / K e y > < / a : K e y > < a : V a l u e   i : t y p e = " M e a s u r e G r i d N o d e V i e w S t a t e " > < C o l u m n > 2 0 < / C o l u m n > < L a y e d O u t > t r u e < / L a y e d O u t > < / a : V a l u e > < / a : K e y V a l u e O f D i a g r a m O b j e c t K e y a n y T y p e z b w N T n L X > < a : K e y V a l u e O f D i a g r a m O b j e c t K e y a n y T y p e z b w N T n L X > < a : K e y > < K e y > C o l u m n s \ S L I C E < / K e y > < / a : K e y > < a : V a l u e   i : t y p e = " M e a s u r e G r i d N o d e V i e w S t a t e " > < C o l u m n > 3 < / C o l u m n > < L a y e d O u t > t r u e < / L a y e d O u t > < / a : V a l u e > < / a : K e y V a l u e O f D i a g r a m O b j e c t K e y a n y T y p e z b w N T n L X > < a : K e y V a l u e O f D i a g r a m O b j e c t K e y a n y T y p e z b w N T n L X > < a : K e y > < K e y > C o l u m n s \ L T V < / K e y > < / a : K e y > < a : V a l u e   i : t y p e = " M e a s u r e G r i d N o d e V i e w S t a t e " > < C o l u m n > 4 < / C o l u m n > < L a y e d O u t > t r u e < / L a y e d O u t > < / a : V a l u e > < / a : K e y V a l u e O f D i a g r a m O b j e c t K e y a n y T y p e z b w N T n L X > < a : K e y V a l u e O f D i a g r a m O b j e c t K e y a n y T y p e z b w N T n L X > < a : K e y > < K e y > C o l u m n s \ L T V _ B U C K E T < / K e y > < / a : K e y > < a : V a l u e   i : t y p e = " M e a s u r e G r i d N o d e V i e w S t a t e " > < C o l u m n > 5 < / C o l u m n > < L a y e d O u t > t r u e < / L a y e d O u t > < / a : V a l u e > < / a : K e y V a l u e O f D i a g r a m O b j e c t K e y a n y T y p e z b w N T n L X > < a : K e y V a l u e O f D i a g r a m O b j e c t K e y a n y T y p e z b w N T n L X > < a : K e y > < K e y > C o l u m n s \ K U N D E N N U M M E R < / K e y > < / a : K e y > < a : V a l u e   i : t y p e = " M e a s u r e G r i d N o d e V i e w S t a t e " > < C o l u m n > 6 < / C o l u m n > < L a y e d O u t > t r u e < / L a y e d O u t > < / a : V a l u e > < / a : K e y V a l u e O f D i a g r a m O b j e c t K e y a n y T y p e z b w N T n L X > < a : K e y V a l u e O f D i a g r a m O b j e c t K e y a n y T y p e z b w N T n L X > < a : K e y > < K e y > C o l u m n s \ S E A S O N I N G < / K e y > < / a : K e y > < a : V a l u e   i : t y p e = " M e a s u r e G r i d N o d e V i e w S t a t e " > < C o l u m n > 7 < / C o l u m n > < L a y e d O u t > t r u e < / L a y e d O u t > < / a : V a l u e > < / a : K e y V a l u e O f D i a g r a m O b j e c t K e y a n y T y p e z b w N T n L X > < a : K e y V a l u e O f D i a g r a m O b j e c t K e y a n y T y p e z b w N T n L X > < a : K e y > < K e y > C o l u m n s \ S E A S O N I N G _ B U C K E T < / K e y > < / a : K e y > < a : V a l u e   i : t y p e = " M e a s u r e G r i d N o d e V i e w S t a t e " > < C o l u m n > 8 < / C o l u m n > < L a y e d O u t > t r u e < / L a y e d O u t > < / a : V a l u e > < / a : K e y V a l u e O f D i a g r a m O b j e c t K e y a n y T y p e z b w N T n L X > < a : K e y V a l u e O f D i a g r a m O b j e c t K e y a n y T y p e z b w N T n L X > < a : K e y > < K e y > C o l u m n s \ R E M A I N I N G _ T E R M < / K e y > < / a : K e y > < a : V a l u e   i : t y p e = " M e a s u r e G r i d N o d e V i e w S t a t e " > < C o l u m n > 9 < / C o l u m n > < L a y e d O u t > t r u e < / L a y e d O u t > < / a : V a l u e > < / a : K e y V a l u e O f D i a g r a m O b j e c t K e y a n y T y p e z b w N T n L X > < a : K e y V a l u e O f D i a g r a m O b j e c t K e y a n y T y p e z b w N T n L X > < a : K e y > < K e y > C o l u m n s \ P U R P O S E _ T Y P E < / K e y > < / a : K e y > < a : V a l u e   i : t y p e = " M e a s u r e G r i d N o d e V i e w S t a t e " > < C o l u m n > 1 0 < / C o l u m n > < L a y e d O u t > t r u e < / L a y e d O u t > < / a : V a l u e > < / a : K e y V a l u e O f D i a g r a m O b j e c t K e y a n y T y p e z b w N T n L X > < a : K e y V a l u e O f D i a g r a m O b j e c t K e y a n y T y p e z b w N T n L X > < a : K e y > < K e y > C o l u m n s \ I N T E R E S T _ P A Y M E N T _ F R E Q U E N C Y < / K e y > < / a : K e y > < a : V a l u e   i : t y p e = " M e a s u r e G r i d N o d e V i e w S t a t e " > < C o l u m n > 1 1 < / C o l u m n > < L a y e d O u t > t r u e < / L a y e d O u t > < / a : V a l u e > < / a : K e y V a l u e O f D i a g r a m O b j e c t K e y a n y T y p e z b w N T n L X > < a : K e y V a l u e O f D i a g r a m O b j e c t K e y a n y T y p e z b w N T n L X > < a : K e y > < K e y > C o l u m n s \ P R I N C I P A L _ P A Y M E N T _ F R E Q U E N C Y < / 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 C o l u m n s \ F I X E D _ I N T E R E S T _ R A T E 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 C o l u m n s \ E M P L O Y M E N T _ T Y P E < / K e y > < / a : K e y > < a : V a l u e   i : t y p e = " M e a s u r e G r i d N o d e V i e w S t a t e " > < C o l u m n > 1 6 < / C o l u m n > < L a y e d O u t > t r u e < / L a y e d O u t > < / a : V a l u e > < / a : K e y V a l u e O f D i a g r a m O b j e c t K e y a n y T y p e z b w N T n L X > < a : K e y V a l u e O f D i a g r a m O b j e c t K e y a n y T y p e z b w N T n L X > < a : K e y > < K e y > C o l u m n s \ V E R Z U G S T A G E < / K e y > < / a : K e y > < a : V a l u e   i : t y p e = " M e a s u r e G r i d N o d e V i e w S t a t e " > < C o l u m n > 1 7 < / C o l u m n > < L a y e d O u t > t r u e < / L a y e d O u t > < / a : V a l u e > < / a : K e y V a l u e O f D i a g r a m O b j e c t K e y a n y T y p e z b w N T n L X > < a : K e y V a l u e O f D i a g r a m O b j e c t K e y a n y T y p e z b w N T n L X > < a : K e y > < K e y > C o l u m n s \ R E G I O N S < / K e y > < / a : K e y > < a : V a l u e   i : t y p e = " M e a s u r e G r i d N o d e V i e w S t a t e " > < C o l u m n > 1 8 < / C o l u m n > < L a y e d O u t > t r u e < / L a y e d O u t > < / a : V a l u e > < / a : K e y V a l u e O f D i a g r a m O b j e c t K e y a n y T y p e z b w N T n L X > < a : K e y V a l u e O f D i a g r a m O b j e c t K e y a n y T y p e z b w N T n L X > < a : K e y > < K e y > C o l u m n s \ N H G _ G U A R A N T E E D < / K e y > < / a : K e y > < a : V a l u e   i : t y p e = " M e a s u r e G r i d N o d e V i e w S t a t e " > < C o l u m n > 1 9 < / C o l u m n > < L a y e d O u t > t r u e < / L a y e d O u t > < / a : V a l u e > < / a : K e y V a l u e O f D i a g r a m O b j e c t K e y a n y T y p e z b w N T n L X > < a : K e y V a l u e O f D i a g r a m O b j e c t K e y a n y T y p e z b w N T n L X > < a : K e y > < K e y > C o l u m n s \ P R O P E R T Y _ T Y P E < / K e y > < / a : K e y > < a : V a l u e   i : t y p e = " M e a s u r e G r i d N o d e V i e w S t a t e " > < C o l u m n > 2 1 < / C o l u m n > < L a y e d O u t > t r u e < / L a y e d O u t > < / a : V a l u e > < / a : K e y V a l u e O f D i a g r a m O b j e c t K e y a n y T y p e z b w N T n L X > < a : K e y V a l u e O f D i a g r a m O b j e c t K e y a n y T y p e z b w N T n L X > < a : K e y > < K e y > C o l u m n s \ O C C U P A N C Y _ T Y P E < / K e y > < / a : K e y > < a : V a l u e   i : t y p e = " M e a s u r e G r i d N o d e V i e w S t a t e " > < C o l u m n > 2 2 < / C o l u m n > < L a y e d O u t > t r u e < / L a y e d O u t > < / a : V a l u e > < / a : K e y V a l u e O f D i a g r a m O b j e c t K e y a n y T y p e z b w N T n L X > < a : K e y V a l u e O f D i a g r a m O b j e c t K e y a n y T y p e z b w N T n L X > < a : K e y > < K e y > C o l u m n s \ R E M A I N I N G _ F I X E D _ I N T E R E S T _ P E R I O D < / K e y > < / a : K e y > < a : V a l u e   i : t y p e = " M e a s u r e G r i d N o d e V i e w S t a t e " > < C o l u m n > 2 3 < / C o l u m n > < L a y e d O u t > t r u e < / L a y e d O u t > < / a : V a l u e > < / a : K e y V a l u e O f D i a g r a m O b j e c t K e y a n y T y p e z b w N T n L X > < a : K e y V a l u e O f D i a g r a m O b j e c t K e y a n y T y p e z b w N T n L X > < a : K e y > < K e y > C o l u m n s \ N B R _ O F _ P R O P E R T I E S < / K e y > < / a : K e y > < a : V a l u e   i : t y p e = " M e a s u r e G r i d N o d e V i e w S t a t e " > < C o l u m n > 2 5 < / C o l u m n > < L a y e d O u t > t r u e < / L a y e d O u t > < / a : V a l u e > < / a : K e y V a l u e O f D i a g r a m O b j e c t K e y a n y T y p e z b w N T n L X > < a : K e y V a l u e O f D i a g r a m O b j e c t K e y a n y T y p e z b w N T n L X > < a : K e y > < K e y > C o l u m n s \ P R I O R _ R A N K S _ S E C U R E D _ B Y _ P R O P E R T Y < / K e y > < / a : K e y > < a : V a l u e   i : t y p e = " M e a s u r e G r i d N o d e V i e w S t a t e " > < C o l u m n > 2 6 < / C o l u m n > < L a y e d O u t > t r u e < / L a y e d O u t > < / a : V a l u e > < / a : K e y V a l u e O f D i a g r a m O b j e c t K e y a n y T y p e z b w N T n L X > < a : K e y V a l u e O f D i a g r a m O b j e c t K e y a n y T y p e z b w N T n L X > < a : K e y > < K e y > C o l u m n s \ S A L D O < / K e y > < / a : K e y > < a : V a l u e   i : t y p e = " M e a s u r e G r i d N o d e V i e w S t a t e " > < C o l u m n > 2 7 < / C o l u m n > < L a y e d O u t > t r u e < / L a y e d O u t > < / a : V a l u e > < / a : K e y V a l u e O f D i a g r a m O b j e c t K e y a n y T y p e z b w N T n L X > < a : K e y V a l u e O f D i a g r a m O b j e c t K e y a n y T y p e z b w N T n L X > < a : K e y > < K e y > C o l u m n s \ B E W E R T U N G _ C L E A N _ E U R < / K e y > < / a : K e y > < a : V a l u e   i : t y p e = " M e a s u r e G r i d N o d e V i e w S t a t e " > < C o l u m n > 2 4 < / C o l u m n > < L a y e d O u t > t r u e < / L a y e d O u t > < / a : V a l u e > < / a : K e y V a l u e O f D i a g r a m O b j e c t K e y a n y T y p e z b w N T n L X > < / V i e w S t a t e s > < / D i a g r a m M a n a g e r . S e r i a l i z a b l e D i a g r a m > < D i a g r a m M a n a g e r . S e r i a l i z a b l e D i a g r a m > < A d a p t e r   i : t y p e = " M e a s u r e D i a g r a m S a n d b o x A d a p t e r " > < T a b l e N a m e > C O V E R E D _ B O N D < / 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 C o l u m n s \ I S I N < / K e y > < / D i a g r a m O b j e c t K e y > < D i a g r a m O b j e c t K e y > < K e y > C o l u m n s \ D S _ Z U O R D N U N G < / K e y > < / D i a g r a m O b j e c t K e y > < D i a g r a m O b j e c t K e y > < K e y > C o l u m n s \ C U R R E N C Y < / K e y > < / D i a g r a m O b j e c t K e y > < D i a g r a m O b j e c t K e y > < K e y > C o l u m n s \ C U R R E N T _ B A L A N C E _ I N _ I S S U E D _ C U R R E N C Y < / K e y > < / D i a g r a m O b j e c t K e y > < D i a g r a m O b j e c t K e y > < K e y > C o l u m n s \ C U R R E N T _ B A L A N C E _ I N _ D E F A U L T _ C U R R E N C Y < / K e y > < / D i a g r a m O b j e c t K e y > < D i a g r a m O b j e c t K e y > < K e y > C o l u m n s \ E X P E C T E D _ M A T U R I T Y _ D A T E < / K e y > < / D i a g r a m O b j e c t K e y > < D i a g r a m O b j e c t K e y > < K e y > C o l u m n s \ E X T E N D E D _ M A T U R I T Y _ D A T E < / K e y > < / D i a g r a m O b j e c t K e y > < D i a g r a m O b j e c t K e y > < K e y > C o l u m n s \ N E X T _ I N T E R E S T _ P A Y M E N T _ D A T E < / K e y > < / D i a g r a m O b j e c t K e y > < D i a g r a m O b j e c t K e y > < K e y > C o l u m n s \ N E X T _ P R I N C I P A L _ P A Y M E N T _ D A T E < / K e y > < / D i a g r a m O b j e c t K e y > < D i a g r a m O b j e c t K e y > < K e y > C o l u m n s \ I N T E R E S T _ P A Y M E N T _ F R E Q U E N C Y < / K e y > < / D i a g r a m O b j e c t K e y > < D i a g r a m O b j e c t K e y > < K e y > C o l u m n s \ P R I N C I P A L _ P A Y M E N T _ F R E Q U E N C Y < / K e y > < / D i a g r a m O b j e c t K e y > < D i a g r a m O b j e c t K e y > < K e y > C o l u m n s \ P R I N C I P A L _ R E D E M P T I O N _ T Y P E < / K e y > < / D i a g r a m O b j e c t K e y > < D i a g r a m O b j e c t K e y > < K e y > C o l u m n s \ I N T E R E S T _ R A T E _ T Y P E < / K e y > < / D i a g r a m O b j e c t K e y > < D i a g r a m O b j e c t K e y > < K e y > C o l u m n s \ I N T E R E S T _ R A T E < / K e y > < / D i a g r a m O b j e c t K e y > < D i a g r a m O b j e c t K e y > < K e y > C o l u m n s \ I N T E R E S T _ M A R G I N < / K e y > < / D i a g r a m O b j e c t K e y > < D i a g r a m O b j e c t K e y > < K e y > C o l u m n s \ B A S I S _ R A T E < / K e y > < / D i a g r a m O b j e c t K e y > < D i a g r a m O b j e c t K e y > < K e y > C o l u m n s \ D A T E _ O F _ I S S U A N C E < / K e y > < / D i a g r a m O b j e c t K e y > < D i a g r a m O b j e c t K e y > < K e y > C o l u m n s \ S E R I E S _ N U M B E R < / K e y > < / D i a g r a m O b j e c t K e y > < D i a g r a m O b j e c t K e y > < K e y > C o l u m n s \ E S G _ B O N D < / K e y > < / D i a g r a m O b j e c t K e y > < D i a g r a m O b j e c t K e y > < K e y > C o l u m n s \ S T R U C T U R E D _ F E A T U R E S < / K e y > < / D i a g r a m O b j e c t K e y > < D i a g r a m O b j e c t K e y > < K e y > C o l u m n s \ P R I V A T E _ I S S U A N C E < / 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 C o l u m n s \ I S I N < / K e y > < / a : K e y > < a : V a l u e   i : t y p e = " M e a s u r e G r i d N o d e V i e w S t a t e " > < C o l u m n > 2 < / C o l u m n > < 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 C o l u m n s \ C U R R E N C Y < / K e y > < / a : K e y > < a : V a l u e   i : t y p e = " M e a s u r e G r i d N o d e V i e w S t a t e " > < C o l u m n > 3 < / C o l u m n > < L a y e d O u t > t r u e < / L a y e d O u t > < / a : V a l u e > < / a : K e y V a l u e O f D i a g r a m O b j e c t K e y a n y T y p e z b w N T n L X > < a : K e y V a l u e O f D i a g r a m O b j e c t K e y a n y T y p e z b w N T n L X > < a : K e y > < K e y > C o l u m n s \ C U R R E N T _ B A L A N C E _ I N _ I S S U E D _ C U R R E N C Y < / K e y > < / a : K e y > < a : V a l u e   i : t y p e = " M e a s u r e G r i d N o d e V i e w S t a t e " > < C o l u m n > 4 < / C o l u m n > < L a y e d O u t > t r u e < / L a y e d O u t > < / a : V a l u e > < / a : K e y V a l u e O f D i a g r a m O b j e c t K e y a n y T y p e z b w N T n L X > < a : K e y V a l u e O f D i a g r a m O b j e c t K e y a n y T y p e z b w N T n L X > < a : K e y > < K e y > C o l u m n s \ C U R R E N T _ B A L A N C E _ I N _ D E F A U L T _ C U R R E N C Y < / K e y > < / a : K e y > < a : V a l u e   i : t y p e = " M e a s u r e G r i d N o d e V i e w S t a t e " > < C o l u m n > 5 < / C o l u m n > < L a y e d O u t > t r u e < / L a y e d O u t > < / a : V a l u e > < / a : K e y V a l u e O f D i a g r a m O b j e c t K e y a n y T y p e z b w N T n L X > < a : K e y V a l u e O f D i a g r a m O b j e c t K e y a n y T y p e z b w N T n L X > < a : K e y > < K e y > C o l u m n s \ E X P E C T E D _ M A T U R I T Y _ D A T E < / K e y > < / a : K e y > < a : V a l u e   i : t y p e = " M e a s u r e G r i d N o d e V i e w S t a t e " > < C o l u m n > 6 < / C o l u m n > < L a y e d O u t > t r u e < / L a y e d O u t > < / a : V a l u e > < / a : K e y V a l u e O f D i a g r a m O b j e c t K e y a n y T y p e z b w N T n L X > < a : K e y V a l u e O f D i a g r a m O b j e c t K e y a n y T y p e z b w N T n L X > < a : K e y > < K e y > C o l u m n s \ E X T E N D E D _ M A T U R I T Y _ D A T E < / K e y > < / a : K e y > < a : V a l u e   i : t y p e = " M e a s u r e G r i d N o d e V i e w S t a t e " > < C o l u m n > 7 < / C o l u m n > < L a y e d O u t > t r u e < / L a y e d O u t > < / a : V a l u e > < / a : K e y V a l u e O f D i a g r a m O b j e c t K e y a n y T y p e z b w N T n L X > < a : K e y V a l u e O f D i a g r a m O b j e c t K e y a n y T y p e z b w N T n L X > < a : K e y > < K e y > C o l u m n s \ N E X T _ I N T E R E S T _ P A Y M E N T _ D A T E < / K e y > < / a : K e y > < a : V a l u e   i : t y p e = " M e a s u r e G r i d N o d e V i e w S t a t e " > < C o l u m n > 8 < / C o l u m n > < L a y e d O u t > t r u e < / L a y e d O u t > < / a : V a l u e > < / a : K e y V a l u e O f D i a g r a m O b j e c t K e y a n y T y p e z b w N T n L X > < a : K e y V a l u e O f D i a g r a m O b j e c t K e y a n y T y p e z b w N T n L X > < a : K e y > < K e y > C o l u m n s \ N E X T _ P R I N C I P A L _ P A Y M E N T _ D A T E < / K e y > < / a : K e y > < a : V a l u e   i : t y p e = " M e a s u r e G r i d N o d e V i e w S t a t e " > < C o l u m n > 9 < / C o l u m n > < L a y e d O u t > t r u e < / L a y e d O u t > < / a : V a l u e > < / a : K e y V a l u e O f D i a g r a m O b j e c t K e y a n y T y p e z b w N T n L X > < a : K e y V a l u e O f D i a g r a m O b j e c t K e y a n y T y p e z b w N T n L X > < a : K e y > < K e y > C o l u m n s \ I N T E R E S T _ P A Y M E N T _ F R E Q U E N C Y < / K e y > < / a : K e y > < a : V a l u e   i : t y p e = " M e a s u r e G r i d N o d e V i e w S t a t e " > < C o l u m n > 1 0 < / C o l u m n > < L a y e d O u t > t r u e < / L a y e d O u t > < / a : V a l u e > < / a : K e y V a l u e O f D i a g r a m O b j e c t K e y a n y T y p e z b w N T n L X > < a : K e y V a l u e O f D i a g r a m O b j e c t K e y a n y T y p e z b w N T n L X > < a : K e y > < K e y > C o l u m n s \ P R I N C I P A L _ P A Y M E N T _ F R E Q U E N C Y < / K e y > < / a : K e y > < a : V a l u e   i : t y p e = " M e a s u r e G r i d N o d e V i e w S t a t e " > < C o l u m n > 1 1 < / C o l u m n > < L a y e d O u t > t r u e < / L a y e d O u t > < / a : V a l u e > < / a : K e y V a l u e O f D i a g r a m O b j e c t K e y a n y T y p e z b w N T n L X > < a : K e y V a l u e O f D i a g r a m O b j e c t K e y a n y T y p e z b w N T n L X > < a : K e y > < K e y > C o l u m n s \ P R I N C I P A L _ R E D E M P T I O N _ T Y P E < / 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 C o l u m n s \ B A S I S _ R A T E < / K e y > < / a : K e y > < a : V a l u e   i : t y p e = " M e a s u r e G r i d N o d e V i e w S t a t e " > < C o l u m n > 1 6 < / C o l u m n > < L a y e d O u t > t r u e < / L a y e d O u t > < / a : V a l u e > < / a : K e y V a l u e O f D i a g r a m O b j e c t K e y a n y T y p e z b w N T n L X > < a : K e y V a l u e O f D i a g r a m O b j e c t K e y a n y T y p e z b w N T n L X > < a : K e y > < K e y > C o l u m n s \ D A T E _ O F _ I S S U A N C E < / K e y > < / a : K e y > < a : V a l u e   i : t y p e = " M e a s u r e G r i d N o d e V i e w S t a t e " > < C o l u m n > 1 7 < / C o l u m n > < L a y e d O u t > t r u e < / L a y e d O u t > < / a : V a l u e > < / a : K e y V a l u e O f D i a g r a m O b j e c t K e y a n y T y p e z b w N T n L X > < a : K e y V a l u e O f D i a g r a m O b j e c t K e y a n y T y p e z b w N T n L X > < a : K e y > < K e y > C o l u m n s \ S E R I E S _ N U M B E R < / K e y > < / a : K e y > < a : V a l u e   i : t y p e = " M e a s u r e G r i d N o d e V i e w S t a t e " > < C o l u m n > 1 8 < / C o l u m n > < L a y e d O u t > t r u e < / L a y e d O u t > < / a : V a l u e > < / a : K e y V a l u e O f D i a g r a m O b j e c t K e y a n y T y p e z b w N T n L X > < a : K e y V a l u e O f D i a g r a m O b j e c t K e y a n y T y p e z b w N T n L X > < a : K e y > < K e y > C o l u m n s \ E S G _ B O N D < / K e y > < / a : K e y > < a : V a l u e   i : t y p e = " M e a s u r e G r i d N o d e V i e w S t a t e " > < C o l u m n > 1 9 < / C o l u m n > < L a y e d O u t > t r u e < / L a y e d O u t > < / a : V a l u e > < / a : K e y V a l u e O f D i a g r a m O b j e c t K e y a n y T y p e z b w N T n L X > < a : K e y V a l u e O f D i a g r a m O b j e c t K e y a n y T y p e z b w N T n L X > < a : K e y > < K e y > C o l u m n s \ S T R U C T U R E D _ F E A T U R E S < / K e y > < / a : K e y > < a : V a l u e   i : t y p e = " M e a s u r e G r i d N o d e V i e w S t a t e " > < C o l u m n > 2 0 < / C o l u m n > < L a y e d O u t > t r u e < / L a y e d O u t > < / a : V a l u e > < / a : K e y V a l u e O f D i a g r a m O b j e c t K e y a n y T y p e z b w N T n L X > < a : K e y V a l u e O f D i a g r a m O b j e c t K e y a n y T y p e z b w N T n L X > < a : K e y > < K e y > C o l u m n s \ P R I V A T E _ I S S U A N C E < / K e y > < / a : K e y > < a : V a l u e   i : t y p e = " M e a s u r e G r i d N o d e V i e w S t a t e " > < C o l u m n > 2 1 < / C o l u m n > < L a y e d O u t > t r u e < / L a y e d O u t > < / a : V a l u e > < / a : K e y V a l u e O f D i a g r a m O b j e c t K e y a n y T y p e z b w N T n L X > < a : K e y V a l u e O f D i a g r a m O b j e c t K e y a n y T y p e z b w N T n L X > < a : K e y > < K e y > C o l u m n s \ B E W E R T U N G _ C L E A N _ E U R < / K e y > < / a : K e y > < a : V a l u e   i : t y p e = " M e a s u r e G r i d N o d e V i e w S t a t e " > < C o l u m n > 2 2 < / C o l u m n > < L a y e d O u t > t r u e < / L a y e d O u t > < / a : V a l u e > < / a : K e y V a l u e O f D i a g r a m O b j e c t K e y a n y T y p e z b w N T n L X > < / V i e w S t a t e s > < / D i a g r a m M a n a g e r . S e r i a l i z a b l e D i a g r a m > < D i a g r a m M a n a g e r . S e r i a l i z a b l e D i a g r a m > < A d a p t e r   i : t y p e = " M e a s u r e D i a g r a m S a n d b o x A d a p t e r " > < T a b l e N a m e > C O M M E R C I A L _ L O A N 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 C O M M E R C I A L _ L O A N 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 C o l u m n s \ L O A N _ I D < / K e y > < / D i a g r a m O b j e c t K e y > < D i a g r a m O b j e c t K e y > < K e y > C o l u m n s \ L O A N _ C U R R E N C Y < / K e y > < / D i a g r a m O b j e c t K e y > < D i a g r a m O b j e c t K e y > < K e y > C o l u m n s \ L O A N _ B A L A N C E _ 1 < / K e y > < / D i a g r a m O b j e c t K e y > < D i a g r a m O b j e c t K e y > < K e y > C o l u m n s \ L O A N _ B A L A N C E _ 2 < / K e y > < / D i a g r a m O b j e c t K e y > < D i a g r a m O b j e c t K e y > < K e y > C o l u m n s \ C O M M I T T E D _ F U R T H E R _ A D V A N C E < / K e y > < / D i a g r a m O b j e c t K e y > < D i a g r a m O b j e c t K e y > < K e y > C o l u m n s \ S C H E D U L E D _ L O A N _ B A L A N C E _ A T _ M A T U R I T Y _ 1 < / K e y > < / D i a g r a m O b j e c t K e y > < D i a g r a m O b j e c t K e y > < K e y > C o l u m n s \ S C H E D U L E D _ L O A N _ B A L A N C E _ A T _ M A T U R I T Y _ 2 < / K e y > < / D i a g r a m O b j e c t K e y > < D i a g r a m O b j e c t K e y > < K e y > C o l u m n s \ R E M A I N I N G _ T E R M _ I N _ M O N T H S < / K e y > < / D i a g r a m O b j e c t K e y > < D i a g r a m O b j e c t K e y > < K e y > C o l u m n s \ S C H E D U L E D _ M A T U R I T Y _ D A T E _ O N _ L O A N < / K e y > < / D i a g r a m O b j e c t K e y > < D i a g r a m O b j e c t K e y > < K e y > C o l u m n s \ S E A S O N I N G < / K e y > < / D i a g r a m O b j e c t K e y > < D i a g r a m O b j e c t K e y > < K e y > C o l u m n s \ L O A N _ O R I G I N A T I O N _ D A T E < / K e y > < / D i a g r a m O b j e c t K e y > < D i a g r a m O b j e c t K e y > < K e y > C o l u m n s \ W H O L E _ L T V < / K e y > < / D i a g r a m O b j e c t K e y > < D i a g r a m O b j e c t K e y > < K e y > C o l u m n s \ J U N I O R _ R A N K S < / K e y > < / D i a g r a m O b j e c t K e y > < D i a g r a m O b j e c t K e y > < K e y > C o l u m n s \ I N T E R E S T _ R A T E _ T Y P E < / K e y > < / D i a g r a m O b j e c t K e y > < D i a g r a m O b j e c t K e y > < K e y > C o l u m n s \ F I X E D _ I N T E R E S T _ R A T E < / K e y > < / D i a g r a m O b j e c t K e y > < D i a g r a m O b j e c t K e y > < K e y > C o l u m n s \ I N T E R E S T _ M A R G I N < / K e y > < / D i a g r a m O b j e c t K e y > < D i a g r a m O b j e c t K e y > < K e y > C o l u m n s \ B A S I S _ O R _ R E F E R E N C E _ R A T E < / K e y > < / D i a g r a m O b j e c t K e y > < D i a g r a m O b j e c t K e y > < K e y > C o l u m n s \ D S C R < / K e y > < / D i a g r a m O b j e c t K e y > < D i a g r a m O b j e c t K e y > < K e y > C o l u m n s \ P R I N C I P A L _ P A Y M E N T _ F R E Q U E N C Y < / K e y > < / D i a g r a m O b j e c t K e y > < D i a g r a m O b j e c t K e y > < K e y > C o l u m n s \ P R I N C I P A L _ R E P A Y M E N T _ M E T H O D < / K e y > < / D i a g r a m O b j e c t K e y > < D i a g r a m O b j e c t K e y > < K e y > C o l u m n s \ L O A N _ P E R F O R M I N G < / K e y > < / D i a g r a m O b j e c t K e y > < D i a g r a m O b j e c t K e y > < K e y > C o l u m n s \ D E B T O R _ I D < / K e y > < / D i a g r a m O b j e c t K e y > < D i a g r a m O b j e c t K e y > < K e y > C o l u m n s \ D E B T O R _ N A M E < / K e y > < / D i a g r a m O b j e c t K e y > < D i a g r a m O b j e c t K e y > < K e y > C o l u m n s \ D E B T O R _ T Y P E < / K e y > < / D i a g r a m O b j e c t K e y > < D i a g r a m O b j e c t K e y > < K e y > C o l u m n s \ R E C O U R S E _ T O _ B O R R O W E R < / K e y > < / D i a g r a m O b j e c t K e y > < D i a g r a m O b j e c t K e y > < K e y > C o l u m n s \ P R O P E R T Y _ I D < / K e y > < / D i a g r a m O b j e c t K e y > < D i a g r a m O b j e c t K e y > < K e y > C o l u m n s \ V A L U A T I O N _ O F _ P R O P E R T Y _ I N _ D E F A U L T _ C U R R E N C Y < / K e y > < / D i a g r a m O b j e c t K e y > < D i a g r a m O b j e c t K e y > < K e y > C o l u m n s \ V A L U A T I O N _ O F _ P R O P E R T Y _ I N _ C U R R E N C Y _ O F _ T H E _ L O A N < / K e y > < / D i a g r a m O b j e c t K e y > < D i a g r a m O b j e c t K e y > < K e y > C o l u m n s \ U P D A T E D _ V A L U A T I O N _ O F _ P R O P E R T Y < / K e y > < / D i a g r a m O b j e c t K e y > < D i a g r a m O b j e c t K e y > < K e y > C o l u m n s \ D A T E _ O F _ V A L U A T I O N _ U S E D _ F O R _ L T V < / K e y > < / D i a g r a m O b j e c t K e y > < D i a g r a m O b j e c t K e y > < K e y > C o l u m n s \ V A L U A T I O N _ T Y P E < / K e y > < / D i a g r a m O b j e c t K e y > < D i a g r a m O b j e c t K e y > < K e y > C o l u m n s \ C O U N T R Y _ P R O P E R T Y < / K e y > < / D i a g r a m O b j e c t K e y > < D i a g r a m O b j e c t K e y > < K e y > C o l u m n s \ R E G I O N < / K e y > < / D i a g r a m O b j e c t K e y > < D i a g r a m O b j e c t K e y > < K e y > C o l u m n s \ P R O P E R T Y _ T Y P E < / K e y > < / D i a g r a m O b j e c t K e y > < D i a g r a m O b j e c t K e y > < K e y > C o l u m n s \ N B R _ O F _ P R O P E R T I E S < / K e y > < / D i a g r a m O b j e c t K e y > < D i a g r a m O b j e c t K e y > < K e y > C o l u m n s \ E L I G I B L E < / K e y > < / D i a g r a m O b j e c t K e y > < D i a g r a m O b j e c t K e y > < K e y > C o l u m n s \ P O S T A L _ C O D E < / K e y > < / D i a g r a m O b j e c t K e y > < D i a g r a m O b j e c t K e y > < K e y > C o l u m n s \ R E M A I N I N G _ F I X E D _ I N T E R E S T _ P E R I O D < / K e y > < / D i a g r a m O b j e c t K e y > < D i a g r a m O b j e c t K e y > < K e y > C o l u m n s \ L O A N _ B A L A N C E _ 3 < / K e y > < / D i a g r a m O b j e c t K e y > < D i a g r a m O b j e c t K e y > < K e y > C o l u m n s \ L O A N _ B A L A N C E _ 4 < / K e y > < / D i a g r a m O b j e c t K e y > < D i a g r a m O b j e c t K e y > < K e y > C o l u m n s \ E L I G I B L E _ L T V < / K e y > < / D i a g r a m O b j e c t K e y > < D i a g r a m O b j e c t K e y > < K e y > C o l u m n s \ P R I O R _ R A N K S _ S E C U R E D _ B Y _ P R O P E R T Y _ B U C K E T S < / K e y > < / D i a g r a m O b j e c t K e y > < D i a g r a m O b j e c t K e y > < K e y > C o l u m n s \ P R I O R _ R A N K S _ S E C U R E D _ B Y _ P R O P E R T Y < / K e y > < / D i a g r a m O b j e c t K e y > < D i a g r a m O b j e c t K e y > < K e y > C o l u m n s \ S A L D O < / K e y > < / D i a g r a m O b j e c t K e y > < D i a g r a m O b j e c t K e y > < K e y > C o l u m n s \ B A S E L 2 _ S E G M E N T < / 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 C o l u m n s \ L O A N _ I D < / K e y > < / a : K e y > < a : V a l u e   i : t y p e = " M e a s u r e G r i d N o d e V i e w S t a t e " > < C o l u m n > 2 < / C o l u m n > < L a y e d O u t > t r u e < / L a y e d O u t > < / a : V a l u e > < / a : K e y V a l u e O f D i a g r a m O b j e c t K e y a n y T y p e z b w N T n L X > < a : K e y V a l u e O f D i a g r a m O b j e c t K e y a n y T y p e z b w N T n L X > < a : K e y > < K e y > C o l u m n s \ L O A N _ C U R R E N C Y < / K e y > < / a : K e y > < a : V a l u e   i : t y p e = " M e a s u r e G r i d N o d e V i e w S t a t e " > < C o l u m n > 3 < / C o l u m n > < L a y e d O u t > t r u e < / L a y e d O u t > < / a : V a l u e > < / a : K e y V a l u e O f D i a g r a m O b j e c t K e y a n y T y p e z b w N T n L X > < a : K e y V a l u e O f D i a g r a m O b j e c t K e y a n y T y p e z b w N T n L X > < a : K e y > < K e y > C o l u m n s \ L O A N _ B A L A N C E _ 1 < / K e y > < / a : K e y > < a : V a l u e   i : t y p e = " M e a s u r e G r i d N o d e V i e w S t a t e " > < C o l u m n > 4 < / C o l u m n > < L a y e d O u t > t r u e < / L a y e d O u t > < / a : V a l u e > < / a : K e y V a l u e O f D i a g r a m O b j e c t K e y a n y T y p e z b w N T n L X > < a : K e y V a l u e O f D i a g r a m O b j e c t K e y a n y T y p e z b w N T n L X > < a : K e y > < K e y > C o l u m n s \ L O A N _ B A L A N C E _ 2 < / K e y > < / a : K e y > < a : V a l u e   i : t y p e = " M e a s u r e G r i d N o d e V i e w S t a t e " > < C o l u m n > 5 < / C o l u m n > < L a y e d O u t > t r u e < / L a y e d O u t > < / a : V a l u e > < / a : K e y V a l u e O f D i a g r a m O b j e c t K e y a n y T y p e z b w N T n L X > < a : K e y V a l u e O f D i a g r a m O b j e c t K e y a n y T y p e z b w N T n L X > < a : K e y > < K e y > C o l u m n s \ C O M M I T T E D _ F U R T H E R _ A D V A N C E < / K e y > < / a : K e y > < a : V a l u e   i : t y p e = " M e a s u r e G r i d N o d e V i e w S t a t e " > < C o l u m n > 6 < / C o l u m n > < L a y e d O u t > t r u e < / L a y e d O u t > < / a : V a l u e > < / a : K e y V a l u e O f D i a g r a m O b j e c t K e y a n y T y p e z b w N T n L X > < a : K e y V a l u e O f D i a g r a m O b j e c t K e y a n y T y p e z b w N T n L X > < a : K e y > < K e y > C o l u m n s \ S C H E D U L E D _ L O A N _ B A L A N C E _ A T _ M A T U R I T Y _ 1 < / K e y > < / a : K e y > < a : V a l u e   i : t y p e = " M e a s u r e G r i d N o d e V i e w S t a t e " > < C o l u m n > 7 < / C o l u m n > < L a y e d O u t > t r u e < / L a y e d O u t > < / a : V a l u e > < / a : K e y V a l u e O f D i a g r a m O b j e c t K e y a n y T y p e z b w N T n L X > < a : K e y V a l u e O f D i a g r a m O b j e c t K e y a n y T y p e z b w N T n L X > < a : K e y > < K e y > C o l u m n s \ S C H E D U L E D _ L O A N _ B A L A N C E _ A T _ M A T U R I T Y _ 2 < / K e y > < / a : K e y > < a : V a l u e   i : t y p e = " M e a s u r e G r i d N o d e V i e w S t a t e " > < C o l u m n > 8 < / C o l u m n > < L a y e d O u t > t r u e < / L a y e d O u t > < / a : V a l u e > < / a : K e y V a l u e O f D i a g r a m O b j e c t K e y a n y T y p e z b w N T n L X > < a : K e y V a l u e O f D i a g r a m O b j e c t K e y a n y T y p e z b w N T n L X > < a : K e y > < K e y > C o l u m n s \ R E M A I N I N G _ T E R M _ I N _ M O N T H S < / K e y > < / a : K e y > < a : V a l u e   i : t y p e = " M e a s u r e G r i d N o d e V i e w S t a t e " > < C o l u m n > 9 < / C o l u m n > < L a y e d O u t > t r u e < / L a y e d O u t > < / a : V a l u e > < / a : K e y V a l u e O f D i a g r a m O b j e c t K e y a n y T y p e z b w N T n L X > < a : K e y V a l u e O f D i a g r a m O b j e c t K e y a n y T y p e z b w N T n L X > < a : K e y > < K e y > C o l u m n s \ S C H E D U L E D _ M A T U R I T Y _ D A T E _ O N _ L O A N < / K e y > < / a : K e y > < a : V a l u e   i : t y p e = " M e a s u r e G r i d N o d e V i e w S t a t e " > < C o l u m n > 1 0 < / C o l u m n > < L a y e d O u t > t r u e < / L a y e d O u t > < / a : V a l u e > < / a : K e y V a l u e O f D i a g r a m O b j e c t K e y a n y T y p e z b w N T n L X > < a : K e y V a l u e O f D i a g r a m O b j e c t K e y a n y T y p e z b w N T n L X > < a : K e y > < K e y > C o l u m n s \ S E A S O N I N G < / K e y > < / a : K e y > < a : V a l u e   i : t y p e = " M e a s u r e G r i d N o d e V i e w S t a t e " > < C o l u m n > 3 9 < / C o l u m n > < L a y e d O u t > t r u e < / L a y e d O u t > < / a : V a l u e > < / a : K e y V a l u e O f D i a g r a m O b j e c t K e y a n y T y p e z b w N T n L X > < a : K e y V a l u e O f D i a g r a m O b j e c t K e y a n y T y p e z b w N T n L X > < a : K e y > < K e y > C o l u m n s \ L O A N _ O R I G I N A T I O N _ D A T E < / K e y > < / a : K e y > < a : V a l u e   i : t y p e = " M e a s u r e G r i d N o d e V i e w S t a t e " > < C o l u m n > 1 1 < / C o l u m n > < L a y e d O u t > t r u e < / L a y e d O u t > < / a : V a l u e > < / a : K e y V a l u e O f D i a g r a m O b j e c t K e y a n y T y p e z b w N T n L X > < a : K e y V a l u e O f D i a g r a m O b j e c t K e y a n y T y p e z b w N T n L X > < a : K e y > < K e y > C o l u m n s \ W H O L E _ L T V < / K e y > < / a : K e y > < a : V a l u e   i : t y p e = " M e a s u r e G r i d N o d e V i e w S t a t e " > < C o l u m n > 1 2 < / C o l u m n > < L a y e d O u t > t r u e < / L a y e d O u t > < / a : V a l u e > < / a : K e y V a l u e O f D i a g r a m O b j e c t K e y a n y T y p e z b w N T n L X > < a : K e y V a l u e O f D i a g r a m O b j e c t K e y a n y T y p e z b w N T n L X > < a : K e y > < K e y > C o l u m n s \ J U N I O R _ R A N K S < / 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 C o l u m n s \ B A S I S _ O R _ R E F E R E N C E _ R A T E < / K e y > < / a : K e y > < a : V a l u e   i : t y p e = " M e a s u r e G r i d N o d e V i e w S t a t e " > < C o l u m n > 1 8 < / C o l u m n > < L a y e d O u t > t r u e < / L a y e d O u t > < / a : V a l u e > < / a : K e y V a l u e O f D i a g r a m O b j e c t K e y a n y T y p e z b w N T n L X > < a : K e y V a l u e O f D i a g r a m O b j e c t K e y a n y T y p e z b w N T n L X > < a : K e y > < K e y > C o l u m n s \ D S C R < / K e y > < / a : K e y > < a : V a l u e   i : t y p e = " M e a s u r e G r i d N o d e V i e w S t a t e " > < C o l u m n > 1 9 < / C o l u m n > < L a y e d O u t > t r u e < / L a y e d O u t > < / a : V a l u e > < / a : K e y V a l u e O f D i a g r a m O b j e c t K e y a n y T y p e z b w N T n L X > < a : K e y V a l u e O f D i a g r a m O b j e c t K e y a n y T y p e z b w N T n L X > < a : K e y > < K e y > C o l u m n s \ P R I N C I P A L _ P A Y M E N T _ F R E Q U E N C Y < / K e y > < / a : K e y > < a : V a l u e   i : t y p e = " M e a s u r e G r i d N o d e V i e w S t a t e " > < C o l u m n > 2 0 < / C o l u m n > < L a y e d O u t > t r u e < / L a y e d O u t > < / a : V a l u e > < / a : K e y V a l u e O f D i a g r a m O b j e c t K e y a n y T y p e z b w N T n L X > < a : K e y V a l u e O f D i a g r a m O b j e c t K e y a n y T y p e z b w N T n L X > < a : K e y > < K e y > C o l u m n s \ P R I N C I P A L _ R E P A Y M E N T _ M E T H O D < / K e y > < / a : K e y > < a : V a l u e   i : t y p e = " M e a s u r e G r i d N o d e V i e w S t a t e " > < C o l u m n > 2 1 < / C o l u m n > < L a y e d O u t > t r u e < / L a y e d O u t > < / a : V a l u e > < / a : K e y V a l u e O f D i a g r a m O b j e c t K e y a n y T y p e z b w N T n L X > < a : K e y V a l u e O f D i a g r a m O b j e c t K e y a n y T y p e z b w N T n L X > < a : K e y > < K e y > C o l u m n s \ L O A N _ P E R F O R M I N G < / K e y > < / a : K e y > < a : V a l u e   i : t y p e = " M e a s u r e G r i d N o d e V i e w S t a t e " > < C o l u m n > 2 2 < / C o l u m n > < L a y e d O u t > t r u e < / L a y e d O u t > < / a : V a l u e > < / a : K e y V a l u e O f D i a g r a m O b j e c t K e y a n y T y p e z b w N T n L X > < a : K e y V a l u e O f D i a g r a m O b j e c t K e y a n y T y p e z b w N T n L X > < a : K e y > < K e y > C o l u m n s \ D E B T O R _ I D < / K e y > < / a : K e y > < a : V a l u e   i : t y p e = " M e a s u r e G r i d N o d e V i e w S t a t e " > < C o l u m n > 2 3 < / C o l u m n > < L a y e d O u t > t r u e < / L a y e d O u t > < / a : V a l u e > < / a : K e y V a l u e O f D i a g r a m O b j e c t K e y a n y T y p e z b w N T n L X > < a : K e y V a l u e O f D i a g r a m O b j e c t K e y a n y T y p e z b w N T n L X > < a : K e y > < K e y > C o l u m n s \ D E B T O R _ N A M E < / K e y > < / a : K e y > < a : V a l u e   i : t y p e = " M e a s u r e G r i d N o d e V i e w S t a t e " > < C o l u m n > 2 4 < / C o l u m n > < L a y e d O u t > t r u e < / L a y e d O u t > < / a : V a l u e > < / a : K e y V a l u e O f D i a g r a m O b j e c t K e y a n y T y p e z b w N T n L X > < a : K e y V a l u e O f D i a g r a m O b j e c t K e y a n y T y p e z b w N T n L X > < a : K e y > < K e y > C o l u m n s \ D E B T O R _ T Y P E < / K e y > < / a : K e y > < a : V a l u e   i : t y p e = " M e a s u r e G r i d N o d e V i e w S t a t e " > < C o l u m n > 2 5 < / C o l u m n > < L a y e d O u t > t r u e < / L a y e d O u t > < / a : V a l u e > < / a : K e y V a l u e O f D i a g r a m O b j e c t K e y a n y T y p e z b w N T n L X > < a : K e y V a l u e O f D i a g r a m O b j e c t K e y a n y T y p e z b w N T n L X > < a : K e y > < K e y > C o l u m n s \ R E C O U R S E _ T O _ B O R R O W E R < / K e y > < / a : K e y > < a : V a l u e   i : t y p e = " M e a s u r e G r i d N o d e V i e w S t a t e " > < C o l u m n > 2 6 < / C o l u m n > < L a y e d O u t > t r u e < / L a y e d O u t > < / a : V a l u e > < / a : K e y V a l u e O f D i a g r a m O b j e c t K e y a n y T y p e z b w N T n L X > < a : K e y V a l u e O f D i a g r a m O b j e c t K e y a n y T y p e z b w N T n L X > < a : K e y > < K e y > C o l u m n s \ P R O P E R T Y _ I D < / K e y > < / a : K e y > < a : V a l u e   i : t y p e = " M e a s u r e G r i d N o d e V i e w S t a t e " > < C o l u m n > 2 7 < / C o l u m n > < L a y e d O u t > t r u e < / L a y e d O u t > < / a : V a l u e > < / a : K e y V a l u e O f D i a g r a m O b j e c t K e y a n y T y p e z b w N T n L X > < a : K e y V a l u e O f D i a g r a m O b j e c t K e y a n y T y p e z b w N T n L X > < a : K e y > < K e y > C o l u m n s \ V A L U A T I O N _ O F _ P R O P E R T Y _ I N _ D E F A U L T _ C U R R E N C Y < / K e y > < / a : K e y > < a : V a l u e   i : t y p e = " M e a s u r e G r i d N o d e V i e w S t a t e " > < C o l u m n > 2 8 < / C o l u m n > < L a y e d O u t > t r u e < / L a y e d O u t > < / a : V a l u e > < / a : K e y V a l u e O f D i a g r a m O b j e c t K e y a n y T y p e z b w N T n L X > < a : K e y V a l u e O f D i a g r a m O b j e c t K e y a n y T y p e z b w N T n L X > < a : K e y > < K e y > C o l u m n s \ V A L U A T I O N _ O F _ P R O P E R T Y _ I N _ C U R R E N C Y _ O F _ T H E _ L O A N < / K e y > < / a : K e y > < a : V a l u e   i : t y p e = " M e a s u r e G r i d N o d e V i e w S t a t e " > < C o l u m n > 2 9 < / C o l u m n > < L a y e d O u t > t r u e < / L a y e d O u t > < / a : V a l u e > < / a : K e y V a l u e O f D i a g r a m O b j e c t K e y a n y T y p e z b w N T n L X > < a : K e y V a l u e O f D i a g r a m O b j e c t K e y a n y T y p e z b w N T n L X > < a : K e y > < K e y > C o l u m n s \ U P D A T E D _ V A L U A T I O N _ O F _ P R O P E R T Y < / K e y > < / a : K e y > < a : V a l u e   i : t y p e = " M e a s u r e G r i d N o d e V i e w S t a t e " > < C o l u m n > 3 0 < / C o l u m n > < L a y e d O u t > t r u e < / L a y e d O u t > < / a : V a l u e > < / a : K e y V a l u e O f D i a g r a m O b j e c t K e y a n y T y p e z b w N T n L X > < a : K e y V a l u e O f D i a g r a m O b j e c t K e y a n y T y p e z b w N T n L X > < a : K e y > < K e y > C o l u m n s \ D A T E _ O F _ V A L U A T I O N _ U S E D _ F O R _ L T V < / K e y > < / a : K e y > < a : V a l u e   i : t y p e = " M e a s u r e G r i d N o d e V i e w S t a t e " > < C o l u m n > 3 1 < / C o l u m n > < L a y e d O u t > t r u e < / L a y e d O u t > < / a : V a l u e > < / a : K e y V a l u e O f D i a g r a m O b j e c t K e y a n y T y p e z b w N T n L X > < a : K e y V a l u e O f D i a g r a m O b j e c t K e y a n y T y p e z b w N T n L X > < a : K e y > < K e y > C o l u m n s \ V A L U A T I O N _ T Y P E < / K e y > < / a : K e y > < a : V a l u e   i : t y p e = " M e a s u r e G r i d N o d e V i e w S t a t e " > < C o l u m n > 3 2 < / C o l u m n > < L a y e d O u t > t r u e < / L a y e d O u t > < / a : V a l u e > < / a : K e y V a l u e O f D i a g r a m O b j e c t K e y a n y T y p e z b w N T n L X > < a : K e y V a l u e O f D i a g r a m O b j e c t K e y a n y T y p e z b w N T n L X > < a : K e y > < K e y > C o l u m n s \ C O U N T R Y _ P R O P E R T Y < / K e y > < / a : K e y > < a : V a l u e   i : t y p e = " M e a s u r e G r i d N o d e V i e w S t a t e " > < C o l u m n > 3 3 < / C o l u m n > < L a y e d O u t > t r u e < / L a y e d O u t > < / a : V a l u e > < / a : K e y V a l u e O f D i a g r a m O b j e c t K e y a n y T y p e z b w N T n L X > < a : K e y V a l u e O f D i a g r a m O b j e c t K e y a n y T y p e z b w N T n L X > < a : K e y > < K e y > C o l u m n s \ R E G I O N < / K e y > < / a : K e y > < a : V a l u e   i : t y p e = " M e a s u r e G r i d N o d e V i e w S t a t e " > < C o l u m n > 3 4 < / C o l u m n > < L a y e d O u t > t r u e < / L a y e d O u t > < / a : V a l u e > < / a : K e y V a l u e O f D i a g r a m O b j e c t K e y a n y T y p e z b w N T n L X > < a : K e y V a l u e O f D i a g r a m O b j e c t K e y a n y T y p e z b w N T n L X > < a : K e y > < K e y > C o l u m n s \ P R O P E R T Y _ T Y P E < / K e y > < / a : K e y > < a : V a l u e   i : t y p e = " M e a s u r e G r i d N o d e V i e w S t a t e " > < C o l u m n > 3 5 < / C o l u m n > < L a y e d O u t > t r u e < / L a y e d O u t > < / a : V a l u e > < / a : K e y V a l u e O f D i a g r a m O b j e c t K e y a n y T y p e z b w N T n L X > < a : K e y V a l u e O f D i a g r a m O b j e c t K e y a n y T y p e z b w N T n L X > < a : K e y > < K e y > C o l u m n s \ N B R _ O F _ P R O P E R T I E S < / K e y > < / a : K e y > < a : V a l u e   i : t y p e = " M e a s u r e G r i d N o d e V i e w S t a t e " > < C o l u m n > 3 6 < / C o l u m n > < L a y e d O u t > t r u e < / L a y e d O u t > < / a : V a l u e > < / a : K e y V a l u e O f D i a g r a m O b j e c t K e y a n y T y p e z b w N T n L X > < a : K e y V a l u e O f D i a g r a m O b j e c t K e y a n y T y p e z b w N T n L X > < a : K e y > < K e y > C o l u m n s \ E L I G I B L E < / K e y > < / a : K e y > < a : V a l u e   i : t y p e = " M e a s u r e G r i d N o d e V i e w S t a t e " > < C o l u m n > 3 7 < / C o l u m n > < L a y e d O u t > t r u e < / L a y e d O u t > < / a : V a l u e > < / a : K e y V a l u e O f D i a g r a m O b j e c t K e y a n y T y p e z b w N T n L X > < a : K e y V a l u e O f D i a g r a m O b j e c t K e y a n y T y p e z b w N T n L X > < a : K e y > < K e y > C o l u m n s \ P O S T A L _ C O D E < / K e y > < / a : K e y > < a : V a l u e   i : t y p e = " M e a s u r e G r i d N o d e V i e w S t a t e " > < C o l u m n > 3 8 < / C o l u m n > < L a y e d O u t > t r u e < / L a y e d O u t > < / a : V a l u e > < / a : K e y V a l u e O f D i a g r a m O b j e c t K e y a n y T y p e z b w N T n L X > < a : K e y V a l u e O f D i a g r a m O b j e c t K e y a n y T y p e z b w N T n L X > < a : K e y > < K e y > C o l u m n s \ R E M A I N I N G _ F I X E D _ I N T E R E S T _ P E R I O D < / K e y > < / a : K e y > < a : V a l u e   i : t y p e = " M e a s u r e G r i d N o d e V i e w S t a t e " > < C o l u m n > 4 0 < / C o l u m n > < L a y e d O u t > t r u e < / L a y e d O u t > < / a : V a l u e > < / a : K e y V a l u e O f D i a g r a m O b j e c t K e y a n y T y p e z b w N T n L X > < a : K e y V a l u e O f D i a g r a m O b j e c t K e y a n y T y p e z b w N T n L X > < a : K e y > < K e y > C o l u m n s \ L O A N _ B A L A N C E _ 3 < / K e y > < / a : K e y > < a : V a l u e   i : t y p e = " M e a s u r e G r i d N o d e V i e w S t a t e " > < C o l u m n > 4 2 < / C o l u m n > < L a y e d O u t > t r u e < / L a y e d O u t > < / a : V a l u e > < / a : K e y V a l u e O f D i a g r a m O b j e c t K e y a n y T y p e z b w N T n L X > < a : K e y V a l u e O f D i a g r a m O b j e c t K e y a n y T y p e z b w N T n L X > < a : K e y > < K e y > C o l u m n s \ L O A N _ B A L A N C E _ 4 < / K e y > < / a : K e y > < a : V a l u e   i : t y p e = " M e a s u r e G r i d N o d e V i e w S t a t e " > < C o l u m n > 4 3 < / C o l u m n > < L a y e d O u t > t r u e < / L a y e d O u t > < / a : V a l u e > < / a : K e y V a l u e O f D i a g r a m O b j e c t K e y a n y T y p e z b w N T n L X > < a : K e y V a l u e O f D i a g r a m O b j e c t K e y a n y T y p e z b w N T n L X > < a : K e y > < K e y > C o l u m n s \ E L I G I B L E _ L T V < / K e y > < / a : K e y > < a : V a l u e   i : t y p e = " M e a s u r e G r i d N o d e V i e w S t a t e " > < C o l u m n > 4 4 < / C o l u m n > < L a y e d O u t > t r u e < / L a y e d O u t > < / a : V a l u e > < / a : K e y V a l u e O f D i a g r a m O b j e c t K e y a n y T y p e z b w N T n L X > < a : K e y V a l u e O f D i a g r a m O b j e c t K e y a n y T y p e z b w N T n L X > < a : K e y > < K e y > C o l u m n s \ P R I O R _ R A N K S _ S E C U R E D _ B Y _ P R O P E R T Y _ B U C K E T S < / K e y > < / a : K e y > < a : V a l u e   i : t y p e = " M e a s u r e G r i d N o d e V i e w S t a t e " > < C o l u m n > 4 5 < / C o l u m n > < L a y e d O u t > t r u e < / L a y e d O u t > < / a : V a l u e > < / a : K e y V a l u e O f D i a g r a m O b j e c t K e y a n y T y p e z b w N T n L X > < a : K e y V a l u e O f D i a g r a m O b j e c t K e y a n y T y p e z b w N T n L X > < a : K e y > < K e y > C o l u m n s \ P R I O R _ R A N K S _ S E C U R E D _ B Y _ P R O P E R T Y < / K e y > < / a : K e y > < a : V a l u e   i : t y p e = " M e a s u r e G r i d N o d e V i e w S t a t e " > < C o l u m n > 1 3 < / C o l u m n > < L a y e d O u t > t r u e < / L a y e d O u t > < / a : V a l u e > < / a : K e y V a l u e O f D i a g r a m O b j e c t K e y a n y T y p e z b w N T n L X > < a : K e y V a l u e O f D i a g r a m O b j e c t K e y a n y T y p e z b w N T n L X > < a : K e y > < K e y > C o l u m n s \ S A L D O < / K e y > < / a : K e y > < a : V a l u e   i : t y p e = " M e a s u r e G r i d N o d e V i e w S t a t e " > < C o l u m n > 4 7 < / C o l u m n > < L a y e d O u t > t r u e < / L a y e d O u t > < / a : V a l u e > < / a : K e y V a l u e O f D i a g r a m O b j e c t K e y a n y T y p e z b w N T n L X > < a : K e y V a l u e O f D i a g r a m O b j e c t K e y a n y T y p e z b w N T n L X > < a : K e y > < K e y > C o l u m n s \ B A S E L 2 _ S E G M E N T < / K e y > < / a : K e y > < a : V a l u e   i : t y p e = " M e a s u r e G r i d N o d e V i e w S t a t e " > < C o l u m n > 4 6 < / C o l u m n > < L a y e d O u t > t r u e < / L a y e d O u t > < / a : V a l u e > < / a : K e y V a l u e O f D i a g r a m O b j e c t K e y a n y T y p e z b w N T n L X > < a : K e y V a l u e O f D i a g r a m O b j e c t K e y a n y T y p e z b w N T n L X > < a : K e y > < K e y > C o l u m n s \ B E W E R T U N G _ C L E A N _ E U R < / K e y > < / a : K e y > < a : V a l u e   i : t y p e = " M e a s u r e G r i d N o d e V i e w S t a t e " > < C o l u m n > 4 1 < / C o l u m n > < L a y e d O u t > t r u e < / L a y e d O u t > < / a : V a l u e > < / a : K e y V a l u e O f D i a g r a m O b j e c t K e y a n y T y p e z b w N T n L X > < / V i e w S t a t e s > < / D i a g r a m M a n a g e r . S e r i a l i z a b l e D i a g r a m > < D i a g r a m M a n a g e r . S e r i a l i z a b l e D i a g r a m > < A d a p t e r   i : t y p e = " M e a s u r e D i a g r a m S a n d b o x A d a p t e r " > < T a b l e N a m e > P U B L I C _ S E C T O R _ L O A N 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 P U B L I C _ S E C T O R _ L O A N 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 C o l u m n s \ D E B T O R _ N A M E < / K e y > < / D i a g r a m O b j e c t K e y > < D i a g r a m O b j e c t K e y > < K e y > C o l u m n s \ D E B T O R _ I D E N T I F I E R _ N U M B E R < / K e y > < / D i a g r a m O b j e c t K e y > < D i a g r a m O b j e c t K e y > < K e y > C o l u m n s \ T Y P E _ O F _ E X P O S U R E < / K e y > < / D i a g r a m O b j e c t K e y > < D i a g r a m O b j e c t K e y > < K e y > C o l u m n s \ D E B T O R _ C O U N T R Y < / K e y > < / D i a g r a m O b j e c t K e y > < D i a g r a m O b j e c t K e y > < K e y > C o l u m n s \ D E B T O R _ R E G I O N < / K e y > < / D i a g r a m O b j e c t K e y > < D i a g r a m O b j e c t K e y > < K e y > C o l u m n s \ L O A N _ I D E N T I F I E R _ N U M B E R < / K e y > < / D i a g r a m O b j e c t K e y > < D i a g r a m O b j e c t K e y > < K e y > C o l u m n s \ L O A N _ C U R R E N C Y < / K e y > < / D i a g r a m O b j e c t K e y > < D i a g r a m O b j e c t K e y > < K e y > C o l u m n s \ L O A N _ B A L A N C E _ 1 < / K e y > < / D i a g r a m O b j e c t K e y > < D i a g r a m O b j e c t K e y > < K e y > C o l u m n s \ L O A N _ B A L A N C E _ 2 < / K e y > < / D i a g r a m O b j e c t K e y > < D i a g r a m O b j e c t K e y > < K e y > C o l u m n s \ M A T U R I T Y _ D A T E < / K e y > < / D i a g r a m O b j e c t K e y > < D i a g r a m O b j e c t K e y > < K e y > C o l u m n s \ S E A S O N I N G < / K e y > < / D i a g r a m O b j e c t K e y > < D i a g r a m O b j e c t K e y > < K e y > C o l u m n s \ R E M A I N I N G _ T E R M < / K e y > < / D i a g r a m O b j e c t K e y > < D i a g r a m O b j e c t K e y > < K e y > C o l u m n s \ P R I N C I P A L _ R E P A Y M E N T _ M E T H O D < / K e y > < / D i a g r a m O b j e c t K e y > < D i a g r a m O b j e c t K e y > < K e y > C o l u m n s \ I N T E R E S T _ R A T E _ T Y P E < / K e y > < / D i a g r a m O b j e c t K e y > < D i a g r a m O b j e c t K e y > < K e y > C o l u m n s \ F I X E D _ I N T E R E S T _ R A T E < / K e y > < / D i a g r a m O b j e c t K e y > < D i a g r a m O b j e c t K e y > < K e y > C o l u m n s \ I N T E R E S T _ M A R G I N < / K e y > < / D i a g r a m O b j e c t K e y > < D i a g r a m O b j e c t K e y > < K e y > C o l u m n s \ B A S I S _ R A T E < / K e y > < / D i a g r a m O b j e c t K e y > < D i a g r a m O b j e c t K e y > < K e y > C o l u m n s \ E L I G I B L E _ F O R _ E C B _ O R _ C E N T R A L _ B A N K < / K e y > < / D i a g r a m O b j e c t K e y > < D i a g r a m O b j e c t K e y > < K e y > C o l u m n s \ L O A N _ P E R F O R M I N G < / K e y > < / D i a g r a m O b j e c t K e y > < D i a g r a m O b j e c t K e y > < K e y > C o l u m n s \ B A C K E D _ B Y _ M O R T G A G E < / K e y > < / D i a g r a m O b j e c t K e y > < D i a g r a m O b j e c t K e y > < K e y > C o l u m n s \ L T V < / K e y > < / D i a g r a m O b j e c t K e y > < D i a g r a m O b j e c t K e y > < K e y > C o l u m n s \ L A R G E S T _ G O V E R N M E N T _ G U A R A N T O R _ N A M E < / K e y > < / D i a g r a m O b j e c t K e y > < D i a g r a m O b j e c t K e y > < K e y > C o l u m n s \ L A R G E S T _ G O V E R N M E N T _ G U A R A N T O R _ I D E N T I F I E R _ N U M B E R < / K e y > < / D i a g r a m O b j e c t K e y > < D i a g r a m O b j e c t K e y > < K e y > C o l u m n s \ L A R G E S T _ G O V E R N M E N T _ G U A R A N T O R _ C O U N T R Y < / K e y > < / D i a g r a m O b j e c t K e y > < D i a g r a m O b j e c t K e y > < K e y > C o l u m n s \ L A R G E S T _ G O V E R N M E N T _ G U A R A N T O R _ R E G I O N < / K e y > < / D i a g r a m O b j e c t K e y > < D i a g r a m O b j e c t K e y > < K e y > C o l u m n s \ D E B T O R _ P O S T A L _ C O D E < / K e y > < / D i a g r a m O b j e c t K e y > < D i a g r a m O b j e c t K e y > < K e y > C o l u m n s \ L A R G E S T _ G O V E R N M E N T _ G U A R A N T O R _ P O S T A L _ C O D E < / K e y > < / D i a g r a m O b j e c t K e y > < D i a g r a m O b j e c t K e y > < K e y > C o l u m n s \ L A R G E S T _ G O V E R N M E N T _ G U A R A N T O R _ T Y P E < / K e y > < / D i a g r a m O b j e c t K e y > < D i a g r a m O b j e c t K e y > < K e y > C o l u m n s \ N B R _ O F _ G O V E R N M E N T _ G U A R A N T O R S < / K e y > < / D i a g r a m O b j e c t K e y > < D i a g r a m O b j e c t K e y > < K e y > C o l u m n s \ O W N E R S H I P _ P O S I T I O N < / K e y > < / D i a g r a m O b j e c t K e y > < D i a g r a m O b j e c t K e y > < K e y > C o l u m n s \ S E C T O R < / K e y > < / D i a g r a m O b j e c t K e y > < D i a g r a m O b j e c t K e y > < K e y > C o l u m n s \ R E M A I N I N G _ F I X E D _ I N T E R E S T _ P E R I O D < / 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 C o l u m n s \ D E B T O R _ N A M E < / K e y > < / a : K e y > < a : V a l u e   i : t y p e = " M e a s u r e G r i d N o d e V i e w S t a t e " > < C o l u m n > 2 < / C o l u m n > < L a y e d O u t > t r u e < / L a y e d O u t > < / a : V a l u e > < / a : K e y V a l u e O f D i a g r a m O b j e c t K e y a n y T y p e z b w N T n L X > < a : K e y V a l u e O f D i a g r a m O b j e c t K e y a n y T y p e z b w N T n L X > < a : K e y > < K e y > C o l u m n s \ D E B T O R _ I D E N T I F I E R _ N U M B E R < / K e y > < / a : K e y > < a : V a l u e   i : t y p e = " M e a s u r e G r i d N o d e V i e w S t a t e " > < C o l u m n > 3 < / C o l u m n > < L a y e d O u t > t r u e < / L a y e d O u t > < / a : V a l u e > < / a : K e y V a l u e O f D i a g r a m O b j e c t K e y a n y T y p e z b w N T n L X > < a : K e y V a l u e O f D i a g r a m O b j e c t K e y a n y T y p e z b w N T n L X > < a : K e y > < K e y > C o l u m n s \ T Y P E _ O F _ E X P O S U R E < / K e y > < / a : K e y > < a : V a l u e   i : t y p e = " M e a s u r e G r i d N o d e V i e w S t a t e " > < C o l u m n > 4 < / C o l u m n > < L a y e d O u t > t r u e < / L a y e d O u t > < / a : V a l u e > < / a : K e y V a l u e O f D i a g r a m O b j e c t K e y a n y T y p e z b w N T n L X > < a : K e y V a l u e O f D i a g r a m O b j e c t K e y a n y T y p e z b w N T n L X > < a : K e y > < K e y > C o l u m n s \ D E B T O R _ C O U N T R Y < / K e y > < / a : K e y > < a : V a l u e   i : t y p e = " M e a s u r e G r i d N o d e V i e w S t a t e " > < C o l u m n > 5 < / C o l u m n > < L a y e d O u t > t r u e < / L a y e d O u t > < / a : V a l u e > < / a : K e y V a l u e O f D i a g r a m O b j e c t K e y a n y T y p e z b w N T n L X > < a : K e y V a l u e O f D i a g r a m O b j e c t K e y a n y T y p e z b w N T n L X > < a : K e y > < K e y > C o l u m n s \ D E B T O R _ R E G I O N < / K e y > < / a : K e y > < a : V a l u e   i : t y p e = " M e a s u r e G r i d N o d e V i e w S t a t e " > < C o l u m n > 6 < / C o l u m n > < L a y e d O u t > t r u e < / L a y e d O u t > < / a : V a l u e > < / a : K e y V a l u e O f D i a g r a m O b j e c t K e y a n y T y p e z b w N T n L X > < a : K e y V a l u e O f D i a g r a m O b j e c t K e y a n y T y p e z b w N T n L X > < a : K e y > < K e y > C o l u m n s \ L O A N _ I D E N T I F I E R _ N U M B E R < / K e y > < / a : K e y > < a : V a l u e   i : t y p e = " M e a s u r e G r i d N o d e V i e w S t a t e " > < C o l u m n > 7 < / C o l u m n > < L a y e d O u t > t r u e < / L a y e d O u t > < / a : V a l u e > < / a : K e y V a l u e O f D i a g r a m O b j e c t K e y a n y T y p e z b w N T n L X > < a : K e y V a l u e O f D i a g r a m O b j e c t K e y a n y T y p e z b w N T n L X > < a : K e y > < K e y > C o l u m n s \ L O A N _ C U R R E N C Y < / K e y > < / a : K e y > < a : V a l u e   i : t y p e = " M e a s u r e G r i d N o d e V i e w S t a t e " > < C o l u m n > 8 < / C o l u m n > < L a y e d O u t > t r u e < / L a y e d O u t > < / a : V a l u e > < / a : K e y V a l u e O f D i a g r a m O b j e c t K e y a n y T y p e z b w N T n L X > < a : K e y V a l u e O f D i a g r a m O b j e c t K e y a n y T y p e z b w N T n L X > < a : K e y > < K e y > C o l u m n s \ L O A N _ B A L A N C E _ 1 < / K e y > < / a : K e y > < a : V a l u e   i : t y p e = " M e a s u r e G r i d N o d e V i e w S t a t e " > < C o l u m n > 9 < / C o l u m n > < L a y e d O u t > t r u e < / L a y e d O u t > < / a : V a l u e > < / a : K e y V a l u e O f D i a g r a m O b j e c t K e y a n y T y p e z b w N T n L X > < a : K e y V a l u e O f D i a g r a m O b j e c t K e y a n y T y p e z b w N T n L X > < a : K e y > < K e y > C o l u m n s \ L O A N _ B A L A N C E _ 2 < / K e y > < / a : K e y > < a : V a l u e   i : t y p e = " M e a s u r e G r i d N o d e V i e w S t a t e " > < C o l u m n > 1 0 < / C o l u m n > < L a y e d O u t > t r u e < / L a y e d O u t > < / a : V a l u e > < / a : K e y V a l u e O f D i a g r a m O b j e c t K e y a n y T y p e z b w N T n L X > < a : K e y V a l u e O f D i a g r a m O b j e c t K e y a n y T y p e z b w N T n L X > < a : K e y > < K e y > C o l u m n s \ M A T U R I T Y _ D A T E < / K e y > < / a : K e y > < a : V a l u e   i : t y p e = " M e a s u r e G r i d N o d e V i e w S t a t e " > < C o l u m n > 1 1 < / C o l u m n > < L a y e d O u t > t r u e < / L a y e d O u t > < / a : V a l u e > < / a : K e y V a l u e O f D i a g r a m O b j e c t K e y a n y T y p e z b w N T n L X > < a : K e y V a l u e O f D i a g r a m O b j e c t K e y a n y T y p e z b w N T n L X > < a : K e y > < K e y > C o l u m n s \ S E A S O N I N G < / K e y > < / a : K e y > < a : V a l u e   i : t y p e = " M e a s u r e G r i d N o d e V i e w S t a t e " > < C o l u m n > 1 2 < / C o l u m n > < L a y e d O u t > t r u e < / L a y e d O u t > < / a : V a l u e > < / a : K e y V a l u e O f D i a g r a m O b j e c t K e y a n y T y p e z b w N T n L X > < a : K e y V a l u e O f D i a g r a m O b j e c t K e y a n y T y p e z b w N T n L X > < a : K e y > < K e y > C o l u m n s \ R E M A I N I N G _ T E R M < / K e y > < / a : K e y > < a : V a l u e   i : t y p e = " M e a s u r e G r i d N o d e V i e w S t a t e " > < C o l u m n > 1 3 < / C o l u m n > < L a y e d O u t > t r u e < / L a y e d O u t > < / a : V a l u e > < / a : K e y V a l u e O f D i a g r a m O b j e c t K e y a n y T y p e z b w N T n L X > < a : K e y V a l u e O f D i a g r a m O b j e c t K e y a n y T y p e z b w N T n L X > < a : K e y > < K e y > C o l u m n s \ P R I N C I P A L _ R E P A Y M E N T _ M E T H O D < / 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 C o l u m n s \ B A S I S _ R A T E < / K e y > < / a : K e y > < a : V a l u e   i : t y p e = " M e a s u r e G r i d N o d e V i e w S t a t e " > < C o l u m n > 1 8 < / C o l u m n > < L a y e d O u t > t r u e < / L a y e d O u t > < / a : V a l u e > < / a : K e y V a l u e O f D i a g r a m O b j e c t K e y a n y T y p e z b w N T n L X > < a : K e y V a l u e O f D i a g r a m O b j e c t K e y a n y T y p e z b w N T n L X > < a : K e y > < K e y > C o l u m n s \ E L I G I B L E _ F O R _ E C B _ O R _ C E N T R A L _ B A N K < / K e y > < / a : K e y > < a : V a l u e   i : t y p e = " M e a s u r e G r i d N o d e V i e w S t a t e " > < C o l u m n > 1 9 < / C o l u m n > < L a y e d O u t > t r u e < / L a y e d O u t > < / a : V a l u e > < / a : K e y V a l u e O f D i a g r a m O b j e c t K e y a n y T y p e z b w N T n L X > < a : K e y V a l u e O f D i a g r a m O b j e c t K e y a n y T y p e z b w N T n L X > < a : K e y > < K e y > C o l u m n s \ L O A N _ P E R F O R M I N G < / K e y > < / a : K e y > < a : V a l u e   i : t y p e = " M e a s u r e G r i d N o d e V i e w S t a t e " > < C o l u m n > 2 0 < / C o l u m n > < L a y e d O u t > t r u e < / L a y e d O u t > < / a : V a l u e > < / a : K e y V a l u e O f D i a g r a m O b j e c t K e y a n y T y p e z b w N T n L X > < a : K e y V a l u e O f D i a g r a m O b j e c t K e y a n y T y p e z b w N T n L X > < a : K e y > < K e y > C o l u m n s \ B A C K E D _ B Y _ M O R T G A G E < / K e y > < / a : K e y > < a : V a l u e   i : t y p e = " M e a s u r e G r i d N o d e V i e w S t a t e " > < C o l u m n > 2 1 < / C o l u m n > < L a y e d O u t > t r u e < / L a y e d O u t > < / a : V a l u e > < / a : K e y V a l u e O f D i a g r a m O b j e c t K e y a n y T y p e z b w N T n L X > < a : K e y V a l u e O f D i a g r a m O b j e c t K e y a n y T y p e z b w N T n L X > < a : K e y > < K e y > C o l u m n s \ L T V < / K e y > < / a : K e y > < a : V a l u e   i : t y p e = " M e a s u r e G r i d N o d e V i e w S t a t e " > < C o l u m n > 2 2 < / C o l u m n > < L a y e d O u t > t r u e < / L a y e d O u t > < / a : V a l u e > < / a : K e y V a l u e O f D i a g r a m O b j e c t K e y a n y T y p e z b w N T n L X > < a : K e y V a l u e O f D i a g r a m O b j e c t K e y a n y T y p e z b w N T n L X > < a : K e y > < K e y > C o l u m n s \ L A R G E S T _ G O V E R N M E N T _ G U A R A N T O R _ N A M E < / K e y > < / a : K e y > < a : V a l u e   i : t y p e = " M e a s u r e G r i d N o d e V i e w S t a t e " > < C o l u m n > 2 3 < / C o l u m n > < L a y e d O u t > t r u e < / L a y e d O u t > < / a : V a l u e > < / a : K e y V a l u e O f D i a g r a m O b j e c t K e y a n y T y p e z b w N T n L X > < a : K e y V a l u e O f D i a g r a m O b j e c t K e y a n y T y p e z b w N T n L X > < a : K e y > < K e y > C o l u m n s \ L A R G E S T _ G O V E R N M E N T _ G U A R A N T O R _ I D E N T I F I E R _ N U M B E R < / K e y > < / a : K e y > < a : V a l u e   i : t y p e = " M e a s u r e G r i d N o d e V i e w S t a t e " > < C o l u m n > 2 4 < / C o l u m n > < L a y e d O u t > t r u e < / L a y e d O u t > < / a : V a l u e > < / a : K e y V a l u e O f D i a g r a m O b j e c t K e y a n y T y p e z b w N T n L X > < a : K e y V a l u e O f D i a g r a m O b j e c t K e y a n y T y p e z b w N T n L X > < a : K e y > < K e y > C o l u m n s \ L A R G E S T _ G O V E R N M E N T _ G U A R A N T O R _ C O U N T R Y < / K e y > < / a : K e y > < a : V a l u e   i : t y p e = " M e a s u r e G r i d N o d e V i e w S t a t e " > < C o l u m n > 2 5 < / C o l u m n > < L a y e d O u t > t r u e < / L a y e d O u t > < / a : V a l u e > < / a : K e y V a l u e O f D i a g r a m O b j e c t K e y a n y T y p e z b w N T n L X > < a : K e y V a l u e O f D i a g r a m O b j e c t K e y a n y T y p e z b w N T n L X > < a : K e y > < K e y > C o l u m n s \ L A R G E S T _ G O V E R N M E N T _ G U A R A N T O R _ R E G I O N < / K e y > < / a : K e y > < a : V a l u e   i : t y p e = " M e a s u r e G r i d N o d e V i e w S t a t e " > < C o l u m n > 2 6 < / C o l u m n > < L a y e d O u t > t r u e < / L a y e d O u t > < / a : V a l u e > < / a : K e y V a l u e O f D i a g r a m O b j e c t K e y a n y T y p e z b w N T n L X > < a : K e y V a l u e O f D i a g r a m O b j e c t K e y a n y T y p e z b w N T n L X > < a : K e y > < K e y > C o l u m n s \ D E B T O R _ P O S T A L _ C O D E < / K e y > < / a : K e y > < a : V a l u e   i : t y p e = " M e a s u r e G r i d N o d e V i e w S t a t e " > < C o l u m n > 2 7 < / C o l u m n > < L a y e d O u t > t r u e < / L a y e d O u t > < / a : V a l u e > < / a : K e y V a l u e O f D i a g r a m O b j e c t K e y a n y T y p e z b w N T n L X > < a : K e y V a l u e O f D i a g r a m O b j e c t K e y a n y T y p e z b w N T n L X > < a : K e y > < K e y > C o l u m n s \ L A R G E S T _ G O V E R N M E N T _ G U A R A N T O R _ P O S T A L _ C O D E < / K e y > < / a : K e y > < a : V a l u e   i : t y p e = " M e a s u r e G r i d N o d e V i e w S t a t e " > < C o l u m n > 2 8 < / C o l u m n > < L a y e d O u t > t r u e < / L a y e d O u t > < / a : V a l u e > < / a : K e y V a l u e O f D i a g r a m O b j e c t K e y a n y T y p e z b w N T n L X > < a : K e y V a l u e O f D i a g r a m O b j e c t K e y a n y T y p e z b w N T n L X > < a : K e y > < K e y > C o l u m n s \ L A R G E S T _ G O V E R N M E N T _ G U A R A N T O R _ T Y P E < / K e y > < / a : K e y > < a : V a l u e   i : t y p e = " M e a s u r e G r i d N o d e V i e w S t a t e " > < C o l u m n > 2 9 < / C o l u m n > < L a y e d O u t > t r u e < / L a y e d O u t > < / a : V a l u e > < / a : K e y V a l u e O f D i a g r a m O b j e c t K e y a n y T y p e z b w N T n L X > < a : K e y V a l u e O f D i a g r a m O b j e c t K e y a n y T y p e z b w N T n L X > < a : K e y > < K e y > C o l u m n s \ N B R _ O F _ G O V E R N M E N T _ G U A R A N T O R S < / K e y > < / a : K e y > < a : V a l u e   i : t y p e = " M e a s u r e G r i d N o d e V i e w S t a t e " > < C o l u m n > 3 0 < / C o l u m n > < L a y e d O u t > t r u e < / L a y e d O u t > < / a : V a l u e > < / a : K e y V a l u e O f D i a g r a m O b j e c t K e y a n y T y p e z b w N T n L X > < a : K e y V a l u e O f D i a g r a m O b j e c t K e y a n y T y p e z b w N T n L X > < a : K e y > < K e y > C o l u m n s \ O W N E R S H I P _ P O S I T I O N < / K e y > < / a : K e y > < a : V a l u e   i : t y p e = " M e a s u r e G r i d N o d e V i e w S t a t e " > < C o l u m n > 3 1 < / C o l u m n > < L a y e d O u t > t r u e < / L a y e d O u t > < / a : V a l u e > < / a : K e y V a l u e O f D i a g r a m O b j e c t K e y a n y T y p e z b w N T n L X > < a : K e y V a l u e O f D i a g r a m O b j e c t K e y a n y T y p e z b w N T n L X > < a : K e y > < K e y > C o l u m n s \ S E C T O R < / K e y > < / a : K e y > < a : V a l u e   i : t y p e = " M e a s u r e G r i d N o d e V i e w S t a t e " > < C o l u m n > 3 2 < / C o l u m n > < L a y e d O u t > t r u e < / L a y e d O u t > < / a : V a l u e > < / a : K e y V a l u e O f D i a g r a m O b j e c t K e y a n y T y p e z b w N T n L X > < a : K e y V a l u e O f D i a g r a m O b j e c t K e y a n y T y p e z b w N T n L X > < a : K e y > < K e y > C o l u m n s \ R E M A I N I N G _ F I X E D _ I N T E R E S T _ P E R I O D < / K e y > < / a : K e y > < a : V a l u e   i : t y p e = " M e a s u r e G r i d N o d e V i e w S t a t e " > < C o l u m n > 3 3 < / C o l u m n > < L a y e d O u t > t r u e < / L a y e d O u t > < / a : V a l u e > < / a : K e y V a l u e O f D i a g r a m O b j e c t K e y a n y T y p e z b w N T n L X > < a : K e y V a l u e O f D i a g r a m O b j e c t K e y a n y T y p e z b w N T n L X > < a : K e y > < K e y > C o l u m n s \ B E W E R T U N G _ C L E A N _ E U R < / K e y > < / a : K e y > < a : V a l u e   i : t y p e = " M e a s u r e G r i d N o d e V i e w S t a t e " > < C o l u m n > 3 4 < / C o l u m n > < L a y e d O u t > t r u e < / L a y e d O u t > < / a : V a l u e > < / a : K e y V a l u e O f D i a g r a m O b j e c t K e y a n y T y p e z b w N T n L X > < / V i e w S t a t e s > < / D i a g r a m M a n a g e r . S e r i a l i z a b l e D i a g r a m > < / A r r a y O f D i a g r a m M a n a g e r . S e r i a l i z a b l e D i a g r a m > ] ] > < / C u s t o m C o n t e n t > < / G e m i n i > 
</file>

<file path=customXml/item1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9.xml>��< ? x m l   v e r s i o n = " 1 . 0 "   e n c o d i n g = " U T F - 1 6 " ? > < G e m i n i   x m l n s = " h t t p : / / g e m i n i / p i v o t c u s t o m i z a t i o n / T a b l e X M L _ C O V E R E D _ B O N D _ 5 5 f 7 f e d 9 - b 5 5 e - 4 9 1 f - 8 0 9 4 - 7 a 1 e 8 c e a c 1 b 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 1 4 2 < / i n t > < / v a l u e > < / i t e m > < i t e m > < k e y > < s t r i n g > B E W E R T U N G _ C L E A N _ E U R < / s t r i n g > < / k e y > < v a l u e > < i n t > 1 9 2 < / i n t > < / v a l u e > < / i t e m > < i t e m > < k e y > < s t r i n g > D S _ Z U O R D N U N G < / s t r i n g > < / k e y > < v a l u e > < i n t > 1 4 0 < / i n t > < / v a l u e > < / i t e m > < i t e m > < k e y > < s t r i n g > I S I N < / s t r i n g > < / k e y > < v a l u e > < i n t > 6 1 < / i n t > < / v a l u e > < / i t e m > < i t e m > < k e y > < s t r i n g > C U R R E N C Y < / s t r i n g > < / k e y > < v a l u e > < i n t > 1 0 1 < / i n t > < / v a l u e > < / i t e m > < i t e m > < k e y > < s t r i n g > C U R R E N T _ B A L A N C E _ I N _ I S S U E D _ C U R R E N C Y < / s t r i n g > < / k e y > < v a l u e > < i n t > 3 0 0 < / i n t > < / v a l u e > < / i t e m > < i t e m > < k e y > < s t r i n g > C U R R E N T _ B A L A N C E _ I N _ D E F A U L T _ C U R R E N C Y < / s t r i n g > < / k e y > < v a l u e > < i n t > 3 0 9 < / i n t > < / v a l u e > < / i t e m > < i t e m > < k e y > < s t r i n g > E X P E C T E D _ M A T U R I T Y _ D A T E < / s t r i n g > < / k e y > < v a l u e > < i n t > 3 1 1 < / i n t > < / v a l u e > < / i t e m > < i t e m > < k e y > < s t r i n g > E X T E N D E D _ M A T U R I T Y _ D A T E < / s t r i n g > < / k e y > < v a l u e > < i n t > 2 0 7 < / i n t > < / v a l u e > < / i t e m > < i t e m > < k e y > < s t r i n g > N E X T _ I N T E R E S T _ P A Y M E N T _ D A T E < / s t r i n g > < / k e y > < v a l u e > < i n t > 2 3 5 < / i n t > < / v a l u e > < / i t e m > < i t e m > < k e y > < s t r i n g > N E X T _ P R I N C I P A L _ P A Y M E N T _ D A T E < / s t r i n g > < / k e y > < v a l u e > < i n t > 2 4 2 < / i n t > < / v a l u e > < / i t e m > < i t e m > < k e y > < s t r i n g > I N T E R E S T _ P A Y M E N T _ F R E Q U E N C Y < / s t r i n g > < / k e y > < v a l u e > < i n t > 2 3 8 < / i n t > < / v a l u e > < / i t e m > < i t e m > < k e y > < s t r i n g > P R I N C I P A L _ P A Y M E N T _ F R E Q U E N C Y < / s t r i n g > < / k e y > < v a l u e > < i n t > 2 4 5 < / i n t > < / v a l u e > < / i t e m > < i t e m > < k e y > < s t r i n g > P R I N C I P A L _ R E D E M P T I O N _ T Y P E < / s t r i n g > < / k e y > < v a l u e > < i n t > 2 2 5 < / i n t > < / v a l u e > < / i t e m > < i t e m > < k e y > < s t r i n g > I N T E R E S T _ R A T E _ T Y P E < / s t r i n g > < / k e y > < v a l u e > < i n t > 1 6 6 < / i n t > < / v a l u e > < / i t e m > < i t e m > < k e y > < s t r i n g > I N T E R E S T _ R A T E < / s t r i n g > < / k e y > < v a l u e > < i n t > 1 3 0 < / i n t > < / v a l u e > < / i t e m > < i t e m > < k e y > < s t r i n g > I N T E R E S T _ M A R G I N < / s t r i n g > < / k e y > < v a l u e > < i n t > 1 5 2 < / i n t > < / v a l u e > < / i t e m > < i t e m > < k e y > < s t r i n g > B A S I S _ R A T E < / s t r i n g > < / k e y > < v a l u e > < i n t > 1 0 8 < / i n t > < / v a l u e > < / i t e m > < i t e m > < k e y > < s t r i n g > D A T E _ O F _ I S S U A N C E < / s t r i n g > < / k e y > < v a l u e > < i n t > 3 4 2 < / i n t > < / v a l u e > < / i t e m > < i t e m > < k e y > < s t r i n g > S E R I E S _ N U M B E R < / s t r i n g > < / k e y > < v a l u e > < i n t > 1 3 7 < / i n t > < / v a l u e > < / i t e m > < i t e m > < k e y > < s t r i n g > E S G _ B O N D < / s t r i n g > < / k e y > < v a l u e > < i n t > 1 0 3 < / i n t > < / v a l u e > < / i t e m > < i t e m > < k e y > < s t r i n g > S T R U C T U R E D _ F E A T U R E S < / s t r i n g > < / k e y > < v a l u e > < i n t > 1 8 2 < / i n t > < / v a l u e > < / i t e m > < i t e m > < k e y > < s t r i n g > P R I V A T E _ I S S U A N C E < / s t r i n g > < / k e y > < v a l u e > < i n t > 1 5 4 < / i n t > < / v a l u e > < / i t e m > < / C o l u m n W i d t h s > < C o l u m n D i s p l a y I n d e x > < i t e m > < k e y > < s t r i n g > D A T U M < / s t r i n g > < / k e y > < v a l u e > < i n t > 0 < / i n t > < / v a l u e > < / i t e m > < i t e m > < k e y > < s t r i n g > B E W E R T U N G _ C L E A N _ E U R < / s t r i n g > < / k e y > < v a l u e > < i n t > 2 2 < / i n t > < / v a l u e > < / i t e m > < i t e m > < k e y > < s t r i n g > D S _ Z U O R D N U N G < / s t r i n g > < / k e y > < v a l u e > < i n t > 1 < / i n t > < / v a l u e > < / i t e m > < i t e m > < k e y > < s t r i n g > I S I N < / s t r i n g > < / k e y > < v a l u e > < i n t > 2 < / i n t > < / v a l u e > < / i t e m > < i t e m > < k e y > < s t r i n g > C U R R E N C Y < / s t r i n g > < / k e y > < v a l u e > < i n t > 3 < / i n t > < / v a l u e > < / i t e m > < i t e m > < k e y > < s t r i n g > C U R R E N T _ B A L A N C E _ I N _ I S S U E D _ C U R R E N C Y < / s t r i n g > < / k e y > < v a l u e > < i n t > 4 < / i n t > < / v a l u e > < / i t e m > < i t e m > < k e y > < s t r i n g > C U R R E N T _ B A L A N C E _ I N _ D E F A U L T _ C U R R E N C Y < / s t r i n g > < / k e y > < v a l u e > < i n t > 5 < / i n t > < / v a l u e > < / i t e m > < i t e m > < k e y > < s t r i n g > E X P E C T E D _ M A T U R I T Y _ D A T E < / s t r i n g > < / k e y > < v a l u e > < i n t > 6 < / i n t > < / v a l u e > < / i t e m > < i t e m > < k e y > < s t r i n g > E X T E N D E D _ M A T U R I T Y _ D A T E < / s t r i n g > < / k e y > < v a l u e > < i n t > 7 < / i n t > < / v a l u e > < / i t e m > < i t e m > < k e y > < s t r i n g > N E X T _ I N T E R E S T _ P A Y M E N T _ D A T E < / s t r i n g > < / k e y > < v a l u e > < i n t > 8 < / i n t > < / v a l u e > < / i t e m > < i t e m > < k e y > < s t r i n g > N E X T _ P R I N C I P A L _ P A Y M E N T _ D A T E < / s t r i n g > < / k e y > < v a l u e > < i n t > 9 < / i n t > < / v a l u e > < / i t e m > < i t e m > < k e y > < s t r i n g > I N T E R E S T _ P A Y M E N T _ F R E Q U E N C Y < / s t r i n g > < / k e y > < v a l u e > < i n t > 1 0 < / i n t > < / v a l u e > < / i t e m > < i t e m > < k e y > < s t r i n g > P R I N C I P A L _ P A Y M E N T _ F R E Q U E N C Y < / s t r i n g > < / k e y > < v a l u e > < i n t > 1 1 < / i n t > < / v a l u e > < / i t e m > < i t e m > < k e y > < s t r i n g > P R I N C I P A L _ R E D E M P T I O N _ T Y P E < / s t r i n g > < / k e y > < v a l u e > < i n t > 1 2 < / i n t > < / v a l u e > < / i t e m > < i t e m > < k e y > < s t r i n g > I N T E R E S T _ R A T E _ T Y P E < / s t r i n g > < / k e y > < v a l u e > < i n t > 1 3 < / i n t > < / v a l u e > < / i t e m > < i t e m > < k e y > < s t r i n g > I N T E R E S T _ R A T E < / s t r i n g > < / k e y > < v a l u e > < i n t > 1 4 < / i n t > < / v a l u e > < / i t e m > < i t e m > < k e y > < s t r i n g > I N T E R E S T _ M A R G I N < / s t r i n g > < / k e y > < v a l u e > < i n t > 1 5 < / i n t > < / v a l u e > < / i t e m > < i t e m > < k e y > < s t r i n g > B A S I S _ R A T E < / s t r i n g > < / k e y > < v a l u e > < i n t > 1 6 < / i n t > < / v a l u e > < / i t e m > < i t e m > < k e y > < s t r i n g > D A T E _ O F _ I S S U A N C E < / s t r i n g > < / k e y > < v a l u e > < i n t > 1 7 < / i n t > < / v a l u e > < / i t e m > < i t e m > < k e y > < s t r i n g > S E R I E S _ N U M B E R < / s t r i n g > < / k e y > < v a l u e > < i n t > 1 8 < / i n t > < / v a l u e > < / i t e m > < i t e m > < k e y > < s t r i n g > E S G _ B O N D < / s t r i n g > < / k e y > < v a l u e > < i n t > 1 9 < / i n t > < / v a l u e > < / i t e m > < i t e m > < k e y > < s t r i n g > S T R U C T U R E D _ F E A T U R E S < / s t r i n g > < / k e y > < v a l u e > < i n t > 2 0 < / i n t > < / v a l u e > < / i t e m > < i t e m > < k e y > < s t r i n g > P R I V A T E _ I S S U A N C E < / s t r i n g > < / k e y > < v a l u e > < i n t > 2 1 < / i n t > < / v a l u e > < / i t e m > < / C o l u m n D i s p l a y I n d e x > < C o l u m n F r o z e n   / > < C o l u m n C h e c k e d   / > < C o l u m n F i l t e r > < i t e m > < k e y > < s t r i n g > E X T E N D E D _ M A T U R I T Y _ D A T E < / s t r i n g > < / k e y > < v a l u e > < F i l t e r E x p r e s s i o n   x s i : n i l = " t r u e "   / > < / v a l u e > < / i t e m > < / C o l u m n F i l t e r > < S e l e c t i o n F i l t e r > < i t e m > < k e y > < s t r i n g > E X T E N D E D _ M A T U R I T Y _ D A T E < / s t r i n g > < / k e y > < v a l u e > < S e l e c t i o n F i l t e r   x s i : n i l = " t r u e "   / > < / v a l u e > < / i t e m > < / S e l e c t i o n F i l t e r > < F i l t e r P a r a m e t e r s > < i t e m > < k e y > < s t r i n g > E X T E N D E D _ M A T U R I T Y _ D A T E < / s t r i n g > < / k e y > < v a l u e > < C o m m a n d P a r a m e t e r s   / > < / v a l u e > < / i t e m > < / F i l t e r P a r a m e t e r s > < I s S o r t D e s c e n d i n g > f a l s e < / I s S o r t D e s c e n d i n g > < / T a b l e W i d g e t G r i d S e r i a l i z a t i o n > ] ] > < / C u s t o m C o n t e n t > < / G e m i n i > 
</file>

<file path=customXml/item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 C O M M E R C I A L _ L O A N 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 C O M M E R C I A L _ L O A N 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 C o l u m n s \ L O A N _ I D < / 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 C o l u m n s \ C O M M I T T E D _ F U R T H E R _ A D V A N C E < / K e y > < / a : K e y > < a : V a l u e   i : t y p e = " T a b l e W i d g e t B a s e V i e w S t a t e " / > < / a : K e y V a l u e O f D i a g r a m O b j e c t K e y a n y T y p e z b w N T n L X > < a : K e y V a l u e O f D i a g r a m O b j e c t K e y a n y T y p e z b w N T n L X > < a : K e y > < K e y > C o l u m n s \ S C H E D U L E D _ L O A N _ B A L A N C E _ A T _ M A T U R I T Y _ 1 < / K e y > < / a : K e y > < a : V a l u e   i : t y p e = " T a b l e W i d g e t B a s e V i e w S t a t e " / > < / a : K e y V a l u e O f D i a g r a m O b j e c t K e y a n y T y p e z b w N T n L X > < a : K e y V a l u e O f D i a g r a m O b j e c t K e y a n y T y p e z b w N T n L X > < a : K e y > < K e y > C o l u m n s \ S C H E D U L E D _ L O A N _ B A L A N C E _ A T _ M A T U R I T Y _ 2 < / K e y > < / a : K e y > < a : V a l u e   i : t y p e = " T a b l e W i d g e t B a s e V i e w S t a t e " / > < / a : K e y V a l u e O f D i a g r a m O b j e c t K e y a n y T y p e z b w N T n L X > < a : K e y V a l u e O f D i a g r a m O b j e c t K e y a n y T y p e z b w N T n L X > < a : K e y > < K e y > C o l u m n s \ R E M A I N I N G _ T E R M _ I N _ M O N T H S < / K e y > < / a : K e y > < a : V a l u e   i : t y p e = " T a b l e W i d g e t B a s e V i e w S t a t e " / > < / a : K e y V a l u e O f D i a g r a m O b j e c t K e y a n y T y p e z b w N T n L X > < a : K e y V a l u e O f D i a g r a m O b j e c t K e y a n y T y p e z b w N T n L X > < a : K e y > < K e y > C o l u m n s \ S C H E D U L E D _ M A T U R I T Y _ D A T E _ O N _ L O A N < / 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 C o l u m n s \ L O A N _ O R I G I N A T I O N _ D A T E < / K e y > < / a : K e y > < a : V a l u e   i : t y p e = " T a b l e W i d g e t B a s e V i e w S t a t e " / > < / a : K e y V a l u e O f D i a g r a m O b j e c t K e y a n y T y p e z b w N T n L X > < a : K e y V a l u e O f D i a g r a m O b j e c t K e y a n y T y p e z b w N T n L X > < a : K e y > < K e y > C o l u m n s \ W H O L E _ L T V < / K e y > < / a : K e y > < a : V a l u e   i : t y p e = " T a b l e W i d g e t B a s e V i e w S t a t e " / > < / a : K e y V a l u e O f D i a g r a m O b j e c t K e y a n y T y p e z b w N T n L X > < a : K e y V a l u e O f D i a g r a m O b j e c t K e y a n y T y p e z b w N T n L X > < a : K e y > < K e y > C o l u m n s \ J U N I O R _ R A N K S < / 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 C o l u m n s \ B A S I S _ O R _ R E F E R E N C E _ R A T E < / K e y > < / a : K e y > < a : V a l u e   i : t y p e = " T a b l e W i d g e t B a s e V i e w S t a t e " / > < / a : K e y V a l u e O f D i a g r a m O b j e c t K e y a n y T y p e z b w N T n L X > < a : K e y V a l u e O f D i a g r a m O b j e c t K e y a n y T y p e z b w N T n L X > < a : K e y > < K e y > C o l u m n s \ D S C R < / 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 C o l u m n s \ D E B T O R _ I D < / 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 C o l u m n s \ D E B T O R _ T Y P E < / K e y > < / a : K e y > < a : V a l u e   i : t y p e = " T a b l e W i d g e t B a s e V i e w S t a t e " / > < / a : K e y V a l u e O f D i a g r a m O b j e c t K e y a n y T y p e z b w N T n L X > < a : K e y V a l u e O f D i a g r a m O b j e c t K e y a n y T y p e z b w N T n L X > < a : K e y > < K e y > C o l u m n s \ R E C O U R S E _ T O _ B O R R O W E R < / K e y > < / a : K e y > < a : V a l u e   i : t y p e = " T a b l e W i d g e t B a s e V i e w S t a t e " / > < / a : K e y V a l u e O f D i a g r a m O b j e c t K e y a n y T y p e z b w N T n L X > < a : K e y V a l u e O f D i a g r a m O b j e c t K e y a n y T y p e z b w N T n L X > < a : K e y > < K e y > C o l u m n s \ P R O P E R T Y _ I D < / K e y > < / a : K e y > < a : V a l u e   i : t y p e = " T a b l e W i d g e t B a s e V i e w S t a t e " / > < / a : K e y V a l u e O f D i a g r a m O b j e c t K e y a n y T y p e z b w N T n L X > < a : K e y V a l u e O f D i a g r a m O b j e c t K e y a n y T y p e z b w N T n L X > < a : K e y > < K e y > C o l u m n s \ V A L U A T I O N _ O F _ P R O P E R T Y _ I N _ D E F A U L T _ C U R R E N C Y < / K e y > < / a : K e y > < a : V a l u e   i : t y p e = " T a b l e W i d g e t B a s e V i e w S t a t e " / > < / a : K e y V a l u e O f D i a g r a m O b j e c t K e y a n y T y p e z b w N T n L X > < a : K e y V a l u e O f D i a g r a m O b j e c t K e y a n y T y p e z b w N T n L X > < a : K e y > < K e y > C o l u m n s \ V A L U A T I O N _ O F _ P R O P E R T Y _ I N _ C U R R E N C Y _ O F _ T H E _ L O A N < / K e y > < / a : K e y > < a : V a l u e   i : t y p e = " T a b l e W i d g e t B a s e V i e w S t a t e " / > < / a : K e y V a l u e O f D i a g r a m O b j e c t K e y a n y T y p e z b w N T n L X > < a : K e y V a l u e O f D i a g r a m O b j e c t K e y a n y T y p e z b w N T n L X > < a : K e y > < K e y > C o l u m n s \ U P D A T E D _ V A L U A T I O N _ O F _ P R O P E R T Y < / K e y > < / a : K e y > < a : V a l u e   i : t y p e = " T a b l e W i d g e t B a s e V i e w S t a t e " / > < / a : K e y V a l u e O f D i a g r a m O b j e c t K e y a n y T y p e z b w N T n L X > < a : K e y V a l u e O f D i a g r a m O b j e c t K e y a n y T y p e z b w N T n L X > < a : K e y > < K e y > C o l u m n s \ D A T E _ O F _ V A L U A T I O N _ U S E D _ F O R _ L T V < / K e y > < / a : K e y > < a : V a l u e   i : t y p e = " T a b l e W i d g e t B a s e V i e w S t a t e " / > < / a : K e y V a l u e O f D i a g r a m O b j e c t K e y a n y T y p e z b w N T n L X > < a : K e y V a l u e O f D i a g r a m O b j e c t K e y a n y T y p e z b w N T n L X > < a : K e y > < K e y > C o l u m n s \ V A L U A T I O N _ T Y P E < / K e y > < / a : K e y > < a : V a l u e   i : t y p e = " T a b l e W i d g e t B a s e V i e w S t a t e " / > < / a : K e y V a l u e O f D i a g r a m O b j e c t K e y a n y T y p e z b w N T n L X > < a : K e y V a l u e O f D i a g r a m O b j e c t K e y a n y T y p e z b w N T n L X > < a : K e y > < K e y > C o l u m n s \ C O U N T R Y _ P R O P E R T Y < / 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 C o l u m n s \ E L I G I B L E < / K e y > < / a : K e y > < a : V a l u e   i : t y p e = " T a b l e W i d g e t B a s e V i e w S t a t e " / > < / a : K e y V a l u e O f D i a g r a m O b j e c t K e y a n y T y p e z b w N T n L X > < a : K e y V a l u e O f D i a g r a m O b j e c t K e y a n y T y p e z b w N T n L X > < a : K e y > < K e y > C o l u m n s \ P O S T A L _ C O D E 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 C o l u m n s \ L O A N _ B A L A N C E _ 3 < / K e y > < / a : K e y > < a : V a l u e   i : t y p e = " T a b l e W i d g e t B a s e V i e w S t a t e " / > < / a : K e y V a l u e O f D i a g r a m O b j e c t K e y a n y T y p e z b w N T n L X > < a : K e y V a l u e O f D i a g r a m O b j e c t K e y a n y T y p e z b w N T n L X > < a : K e y > < K e y > C o l u m n s \ L O A N _ B A L A N C E _ 4 < / K e y > < / a : K e y > < a : V a l u e   i : t y p e = " T a b l e W i d g e t B a s e V i e w S t a t e " / > < / a : K e y V a l u e O f D i a g r a m O b j e c t K e y a n y T y p e z b w N T n L X > < a : K e y V a l u e O f D i a g r a m O b j e c t K e y a n y T y p e z b w N T n L X > < a : K e y > < K e y > C o l u m n s \ E L I G I B L E _ L T V < / K e y > < / a : K e y > < a : V a l u e   i : t y p e = " T a b l e W i d g e t B a s e V i e w S t a t e " / > < / a : K e y V a l u e O f D i a g r a m O b j e c t K e y a n y T y p e z b w N T n L X > < a : K e y V a l u e O f D i a g r a m O b j e c t K e y a n y T y p e z b w N T n L X > < a : K e y > < K e y > C o l u m n s \ P R I O R _ R A N K S _ S E C U R E D _ B Y _ P R O P E R T Y _ B U C K E T S 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 C o l u m n s \ B A S E L 2 _ S E G M E N T < / 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 C o l u m n s \ I S I N < / 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 C o l u m n s \ C U R R E N C Y < / K e y > < / a : K e y > < a : V a l u e   i : t y p e = " T a b l e W i d g e t B a s e V i e w S t a t e " / > < / a : K e y V a l u e O f D i a g r a m O b j e c t K e y a n y T y p e z b w N T n L X > < a : K e y V a l u e O f D i a g r a m O b j e c t K e y a n y T y p e z b w N T n L X > < a : K e y > < K e y > C o l u m n s \ C U R R E N T _ B A L A N C E _ I N _ I S S U E D _ C U R R E N C Y < / K e y > < / a : K e y > < a : V a l u e   i : t y p e = " T a b l e W i d g e t B a s e V i e w S t a t e " / > < / a : K e y V a l u e O f D i a g r a m O b j e c t K e y a n y T y p e z b w N T n L X > < a : K e y V a l u e O f D i a g r a m O b j e c t K e y a n y T y p e z b w N T n L X > < a : K e y > < K e y > C o l u m n s \ C U R R E N T _ B A L A N C E _ I N _ D E F A U L T _ C U R R E N C Y < / K e y > < / a : K e y > < a : V a l u e   i : t y p e = " T a b l e W i d g e t B a s e V i e w S t a t e " / > < / a : K e y V a l u e O f D i a g r a m O b j e c t K e y a n y T y p e z b w N T n L X > < a : K e y V a l u e O f D i a g r a m O b j e c t K e y a n y T y p e z b w N T n L X > < a : K e y > < K e y > C o l u m n s \ E X P E C T E D _ M A T U R I T Y _ D A T E < / K e y > < / a : K e y > < a : V a l u e   i : t y p e = " T a b l e W i d g e t B a s e V i e w S t a t e " / > < / a : K e y V a l u e O f D i a g r a m O b j e c t K e y a n y T y p e z b w N T n L X > < a : K e y V a l u e O f D i a g r a m O b j e c t K e y a n y T y p e z b w N T n L X > < a : K e y > < K e y > C o l u m n s \ E X T E N D E D _ M A T U R I T Y _ D A T E < / K e y > < / a : K e y > < a : V a l u e   i : t y p e = " T a b l e W i d g e t B a s e V i e w S t a t e " / > < / a : K e y V a l u e O f D i a g r a m O b j e c t K e y a n y T y p e z b w N T n L X > < a : K e y V a l u e O f D i a g r a m O b j e c t K e y a n y T y p e z b w N T n L X > < a : K e y > < K e y > C o l u m n s \ N E X T _ I N T E R E S T _ P A Y M E N T _ D A T E < / K e y > < / a : K e y > < a : V a l u e   i : t y p e = " T a b l e W i d g e t B a s e V i e w S t a t e " / > < / a : K e y V a l u e O f D i a g r a m O b j e c t K e y a n y T y p e z b w N T n L X > < a : K e y V a l u e O f D i a g r a m O b j e c t K e y a n y T y p e z b w N T n L X > < a : K e y > < K e y > C o l u m n s \ N E X T _ P R I N C I P A L _ P A Y M E N T _ D A T E 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 C o l u m n s \ P R I N C I P A L _ R E D E M P T I O N _ T Y P E < / 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 C o l u m n s \ D A T E _ O F _ I S S U A N C E < / K e y > < / a : K e y > < a : V a l u e   i : t y p e = " T a b l e W i d g e t B a s e V i e w S t a t e " / > < / a : K e y V a l u e O f D i a g r a m O b j e c t K e y a n y T y p e z b w N T n L X > < a : K e y V a l u e O f D i a g r a m O b j e c t K e y a n y T y p e z b w N T n L X > < a : K e y > < K e y > C o l u m n s \ S E R I E S _ N U M B E R < / K e y > < / a : K e y > < a : V a l u e   i : t y p e = " T a b l e W i d g e t B a s e V i e w S t a t e " / > < / a : K e y V a l u e O f D i a g r a m O b j e c t K e y a n y T y p e z b w N T n L X > < a : K e y V a l u e O f D i a g r a m O b j e c t K e y a n y T y p e z b w N T n L X > < a : K e y > < K e y > C o l u m n s \ E S G _ B O N D < / K e y > < / a : K e y > < a : V a l u e   i : t y p e = " T a b l e W i d g e t B a s e V i e w S t a t e " / > < / a : K e y V a l u e O f D i a g r a m O b j e c t K e y a n y T y p e z b w N T n L X > < a : K e y V a l u e O f D i a g r a m O b j e c t K e y a n y T y p e z b w N T n L X > < a : K e y > < K e y > C o l u m n s \ S T R U C T U R E D _ F E A T U R E S < / K e y > < / a : K e y > < a : V a l u e   i : t y p e = " T a b l e W i d g e t B a s e V i e w S t a t e " / > < / a : K e y V a l u e O f D i a g r a m O b j e c t K e y a n y T y p e z b w N T n L X > < a : K e y V a l u e O f D i a g r a m O b j e c t K e y a n y T y p e z b w N T n L X > < a : K e y > < K e y > C o l u m n s \ P R I V A T E _ I S S U A N C E < / 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 R E S I D E N T I A L _ L O A N 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 R E S I D E N T I A L _ L O A N 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 C o l u m n s \ K O N T O N U M M E R < / K e y > < / a : K e y > < a : V a l u e   i : t y p e = " T a b l e W i d g e t B a s e V i e w S t a t e " / > < / a : K e y V a l u e O f D i a g r a m O b j e c t K e y a n y T y p e z b w N T n L X > < a : K e y V a l u e O f D i a g r a m O b j e c t K e y a n y T y p e z b w N T n L X > < a : K e y > < K e y > C o l u m n s \ S E G M E N T < / K e y > < / a : K e y > < a : V a l u e   i : t y p e = " T a b l e W i d g e t B a s e V i e w S t a t e " / > < / a : K e y V a l u e O f D i a g r a m O b j e c t K e y a n y T y p e z b w N T n L X > < a : K e y V a l u e O f D i a g r a m O b j e c t K e y a n y T y p e z b w N T n L X > < a : K e y > < K e y > C o l u m n s \ S L I C E 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 C o l u m n s \ L T V _ B U C K E T < / K e y > < / a : K e y > < a : V a l u e   i : t y p e = " T a b l e W i d g e t B a s e V i e w S t a t e " / > < / a : K e y V a l u e O f D i a g r a m O b j e c t K e y a n y T y p e z b w N T n L X > < a : K e y V a l u e O f D i a g r a m O b j e c t K e y a n y T y p e z b w N T n L X > < a : K e y > < K e y > C o l u m n s \ K U N D E N N U M M E R < / 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 C o l u m n s \ S E A S O N I N G _ B U C K E T < / 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 C o l u m n s \ P U R P O S E _ T Y P E 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 C o l u m n s \ E M P L O Y M E N T _ T Y P E < / K e y > < / a : K e y > < a : V a l u e   i : t y p e = " T a b l e W i d g e t B a s e V i e w S t a t e " / > < / a : K e y V a l u e O f D i a g r a m O b j e c t K e y a n y T y p e z b w N T n L X > < a : K e y V a l u e O f D i a g r a m O b j e c t K e y a n y T y p e z b w N T n L X > < a : K e y > < K e y > C o l u m n s \ V E R Z U G S T A G E < / K e y > < / a : K e y > < a : V a l u e   i : t y p e = " T a b l e W i d g e t B a s e V i e w S t a t e " / > < / a : K e y V a l u e O f D i a g r a m O b j e c t K e y a n y T y p e z b w N T n L X > < a : K e y V a l u e O f D i a g r a m O b j e c t K e y a n y T y p e z b w N T n L X > < a : K e y > < K e y > C o l u m n s \ R E G I O N S < / K e y > < / a : K e y > < a : V a l u e   i : t y p e = " T a b l e W i d g e t B a s e V i e w S t a t e " / > < / a : K e y V a l u e O f D i a g r a m O b j e c t K e y a n y T y p e z b w N T n L X > < a : K e y V a l u e O f D i a g r a m O b j e c t K e y a n y T y p e z b w N T n L X > < a : K e y > < K e y > C o l u m n s \ N H G _ G U A R A N T E E D < / 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 C o l u m n s \ O C C U P A N C Y _ T Y P E 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 C o l u m n s \ B O N D _ I N T E R E S T _ R A T E _ T Y P E 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 C o l u m n s \ P R I N C I P A L _ P A I D < / K e y > < / a : K e y > < a : V a l u e   i : t y p e = " T a b l e W i d g e t B a s e V i e w S t a t e " / > < / a : K e y V a l u e O f D i a g r a m O b j e c t K e y a n y T y p e z b w N T n L X > < a : K e y V a l u e O f D i a g r a m O b j e c t K e y a n y T y p e z b w N T n L X > < a : K e y > < K e y > C o l u m n s \ I N T E R E S T _ P A I D 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 D a t a U p d a t e i n f o 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 D a t a U p d a t e i n f o 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 C o l u m n s \ S t i c h t a g < / K e y > < / a : K e y > < a : V a l u e   i : t y p e = " T a b l e W i d g e t B a s e V i e w S t a t e " / > < / a : K e y V a l u e O f D i a g r a m O b j e c t K e y a n y T y p e z b w N T n L X > < a : K e y V a l u e O f D i a g r a m O b j e c t K e y a n y T y p e z b w N T n L X > < a : K e y > < K e y > C o l u m n s \ L e t z t e   A k t u a l i s i e r u n g < / 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 L O A N _ C A S H F L O W 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 L O A N _ C A S H F L O W 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 C o l u m n s \ K Z _ Z E S S I O N _ W I D M U N G < / K e y > < / a : K e y > < a : V a l u e   i : t y p e = " T a b l e W i d g e t B a s e V i e w S t a t e " / > < / a : K e y V a l u e O f D i a g r a m O b j e c t K e y a n y T y p e z b w N T n L X > < a : K e y V a l u e O f D i a g r a m O b j e c t K e y a n y T y p e z b w N T n L X > < a : K e y > < K e y > C o l u m n s \ L O A N _ I N T E R E S T _ R A T E _ T Y P E 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 C o l u m n s \ P R I N C I P A L _ R E C E I V E D < / K e y > < / a : K e y > < a : V a l u e   i : t y p e = " T a b l e W i d g e t B a s e V i e w S t a t e " / > < / a : K e y V a l u e O f D i a g r a m O b j e c t K e y a n y T y p e z b w N T n L X > < a : K e y V a l u e O f D i a g r a m O b j e c t K e y a n y T y p e z b w N T n L X > < a : K e y > < K e y > C o l u m n s \ I N T E R E S T _ R E C E I V E D 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 S T A G E _ F X _ R A T E 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 S T A G E _ F X _ R A T E 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 C o l u m n s \ W A E H R U N G < / K e y > < / a : K e y > < a : V a l u e   i : t y p e = " T a b l e W i d g e t B a s e V i e w S t a t e " / > < / a : K e y V a l u e O f D i a g r a m O b j e c t K e y a n y T y p e z b w N T n L X > < a : K e y V a l u e O f D i a g r a m O b j e c t K e y a n y T y p e z b w N T n L X > < a : K e y > < K e y > C o l u m n s \ M I T T E L K U R S 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K e y > < / a : K e y > < a : V a l u e   i : t y p e = " T a b l e W i d g e t B a s e V i e w S t a t e " / > < / a : K e y V a l u e O f D i a g r a m O b j e c t K e y a n y T y p e z b w N T n L X > < a : K e y V a l u e O f D i a g r a m O b j e c t K e y a n y T y p e z b w N T n L X > < a : K e y > < K e y > C o l u m n s \ b < / 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 P U B L I C _ S E C T O R _ L O A N 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 P U B L I C _ S E C T O R _ L O A N 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 C o l u m n s \ D E B T O R _ I D E N T I F I E R _ N U M B E R < / K e y > < / a : K e y > < a : V a l u e   i : t y p e = " T a b l e W i d g e t B a s e V i e w S t a t e " / > < / a : K e y V a l u e O f D i a g r a m O b j e c t K e y a n y T y p e z b w N T n L X > < a : K e y V a l u e O f D i a g r a m O b j e c t K e y a n y T y p e z b w N T n L X > < a : K e y > < K e y > C o l u m n s \ T Y P E _ O F _ E X P O S U R E < / K e y > < / a : K e y > < a : V a l u e   i : t y p e = " T a b l e W i d g e t B a s e V i e w S t a t e " / > < / a : K e y V a l u e O f D i a g r a m O b j e c t K e y a n y T y p e z b w N T n L X > < a : K e y V a l u e O f D i a g r a m O b j e c t K e y a n y T y p e z b w N T n L X > < a : K e y > < K e y > C o l u m n s \ D E B T O R _ C O U N T R Y < / K e y > < / a : K e y > < a : V a l u e   i : t y p e = " T a b l e W i d g e t B a s e V i e w S t a t e " / > < / a : K e y V a l u e O f D i a g r a m O b j e c t K e y a n y T y p e z b w N T n L X > < a : K e y V a l u e O f D i a g r a m O b j e c t K e y a n y T y p e z b w N T n L X > < a : K e y > < K e y > C o l u m n s \ D E B T O R _ R E G I O N < / K e y > < / a : K e y > < a : V a l u e   i : t y p e = " T a b l e W i d g e t B a s e V i e w S t a t e " / > < / a : K e y V a l u e O f D i a g r a m O b j e c t K e y a n y T y p e z b w N T n L X > < a : K e y V a l u e O f D i a g r a m O b j e c t K e y a n y T y p e z b w N T n L X > < a : K e y > < K e y > C o l u m n s \ L O A N _ I D E N T I F I E R _ N U M B E R < / 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 C o l u m n s \ M A T U R I T Y _ D A T E < / 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 C o l u m n s \ E L I G I B L E _ F O R _ E C B _ O R _ C E N T R A L _ B A N K < / 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 C o l u m n s \ B A C K E D _ B Y _ M O R T G A G E 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 C o l u m n s \ L A R G E S T _ G O V E R N M E N T _ G U A R A N T O R _ N A M E < / K e y > < / a : K e y > < a : V a l u e   i : t y p e = " T a b l e W i d g e t B a s e V i e w S t a t e " / > < / a : K e y V a l u e O f D i a g r a m O b j e c t K e y a n y T y p e z b w N T n L X > < a : K e y V a l u e O f D i a g r a m O b j e c t K e y a n y T y p e z b w N T n L X > < a : K e y > < K e y > C o l u m n s \ L A R G E S T _ G O V E R N M E N T _ G U A R A N T O R _ I D E N T I F I E R _ N U M B E R < / K e y > < / a : K e y > < a : V a l u e   i : t y p e = " T a b l e W i d g e t B a s e V i e w S t a t e " / > < / a : K e y V a l u e O f D i a g r a m O b j e c t K e y a n y T y p e z b w N T n L X > < a : K e y V a l u e O f D i a g r a m O b j e c t K e y a n y T y p e z b w N T n L X > < a : K e y > < K e y > C o l u m n s \ L A R G E S T _ G O V E R N M E N T _ G U A R A N T O R _ C O U N T R Y < / K e y > < / a : K e y > < a : V a l u e   i : t y p e = " T a b l e W i d g e t B a s e V i e w S t a t e " / > < / a : K e y V a l u e O f D i a g r a m O b j e c t K e y a n y T y p e z b w N T n L X > < a : K e y V a l u e O f D i a g r a m O b j e c t K e y a n y T y p e z b w N T n L X > < a : K e y > < K e y > C o l u m n s \ L A R G E S T _ G O V E R N M E N T _ G U A R A N T O R _ R E G I O N < / K e y > < / a : K e y > < a : V a l u e   i : t y p e = " T a b l e W i d g e t B a s e V i e w S t a t e " / > < / a : K e y V a l u e O f D i a g r a m O b j e c t K e y a n y T y p e z b w N T n L X > < a : K e y V a l u e O f D i a g r a m O b j e c t K e y a n y T y p e z b w N T n L X > < a : K e y > < K e y > C o l u m n s \ D E B T O R _ P O S T A L _ C O D E < / K e y > < / a : K e y > < a : V a l u e   i : t y p e = " T a b l e W i d g e t B a s e V i e w S t a t e " / > < / a : K e y V a l u e O f D i a g r a m O b j e c t K e y a n y T y p e z b w N T n L X > < a : K e y V a l u e O f D i a g r a m O b j e c t K e y a n y T y p e z b w N T n L X > < a : K e y > < K e y > C o l u m n s \ L A R G E S T _ G O V E R N M E N T _ G U A R A N T O R _ P O S T A L _ C O D E < / K e y > < / a : K e y > < a : V a l u e   i : t y p e = " T a b l e W i d g e t B a s e V i e w S t a t e " / > < / a : K e y V a l u e O f D i a g r a m O b j e c t K e y a n y T y p e z b w N T n L X > < a : K e y V a l u e O f D i a g r a m O b j e c t K e y a n y T y p e z b w N T n L X > < a : K e y > < K e y > C o l u m n s \ L A R G E S T _ G O V E R N M E N T _ G U A R A N T O R _ T Y P E < / K e y > < / a : K e y > < a : V a l u e   i : t y p e = " T a b l e W i d g e t B a s e V i e w S t a t e " / > < / a : K e y V a l u e O f D i a g r a m O b j e c t K e y a n y T y p e z b w N T n L X > < a : K e y V a l u e O f D i a g r a m O b j e c t K e y a n y T y p e z b w N T n L X > < a : K e y > < K e y > C o l u m n s \ N B R _ O F _ G O V E R N M E N T _ G U A R A N T O R S < / K e y > < / a : K e y > < a : V a l u e   i : t y p e = " T a b l e W i d g e t B a s e V i e w S t a t e " / > < / a : K e y V a l u e O f D i a g r a m O b j e c t K e y a n y T y p e z b w N T n L X > < a : K e y V a l u e O f D i a g r a m O b j e c t K e y a n y T y p e z b w N T n L X > < a : K e y > < K e y > C o l u m n s \ O W N E R S H I P _ P O S I T I O N < / K e y > < / a : K e y > < a : V a l u e   i : t y p e = " T a b l e W i d g e t B a s e V i e w S t a t e " / > < / a : K e y V a l u e O f D i a g r a m O b j e c t K e y a n y T y p e z b w N T n L X > < a : K e y V a l u e O f D i a g r a m O b j e c t K e y a n y T y p e z b w N T n L X > < a : K e y > < K e y > C o l u m n s \ S E C T O R < / 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0.xml>��< ? x m l   v e r s i o n = " 1 . 0 "   e n c o d i n g = " U T F - 1 6 " ? > < G e m i n i   x m l n s = " h t t p : / / g e m i n i / p i v o t c u s t o m i z a t i o n / T a b l e X M L _ L O A N _ C A S H F L O W _ 1 2 7 1 5 8 4 0 - b a 4 f - 4 f b e - b a 8 f - 7 6 9 8 9 a f d 8 0 7 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 K Z _ Z E S S I O N _ W I D M U N G < / s t r i n g > < / k e y > < v a l u e > < i n t > 1 8 3 < / i n t > < / v a l u e > < / i t e m > < i t e m > < k e y > < s t r i n g > L O A N _ I N T E R E S T _ R A T E _ T Y P E < / s t r i n g > < / k e y > < v a l u e > < i n t > 2 0 8 < / i n t > < / v a l u e > < / i t e m > < i t e m > < k e y > < s t r i n g > Q U A R T E R < / s t r i n g > < / k e y > < v a l u e > < i n t > 9 4 < / i n t > < / v a l u e > < / i t e m > < i t e m > < k e y > < s t r i n g > P R I N C I P A L _ R E C E I V E D < / s t r i n g > < / k e y > < v a l u e > < i n t > 1 6 6 < / i n t > < / v a l u e > < / i t e m > < i t e m > < k e y > < s t r i n g > I N T E R E S T _ R E C E I V E D < / s t r i n g > < / k e y > < v a l u e > < i n t > 1 5 9 < / i n t > < / v a l u e > < / i t e m > < / C o l u m n W i d t h s > < C o l u m n D i s p l a y I n d e x > < i t e m > < k e y > < s t r i n g > D A T U M < / s t r i n g > < / k e y > < v a l u e > < i n t > 0 < / i n t > < / v a l u e > < / i t e m > < i t e m > < k e y > < s t r i n g > I N S T I T U T S Z U O R D N U N G < / s t r i n g > < / k e y > < v a l u e > < i n t > 1 < / i n t > < / v a l u e > < / i t e m > < i t e m > < k e y > < s t r i n g > K Z _ Z E S S I O N _ W I D M U N G < / s t r i n g > < / k e y > < v a l u e > < i n t > 2 < / i n t > < / v a l u e > < / i t e m > < i t e m > < k e y > < s t r i n g > L O A N _ I N T E R E S T _ R A T E _ T Y P E < / s t r i n g > < / k e y > < v a l u e > < i n t > 3 < / i n t > < / v a l u e > < / i t e m > < i t e m > < k e y > < s t r i n g > Q U A R T E R < / s t r i n g > < / k e y > < v a l u e > < i n t > 4 < / i n t > < / v a l u e > < / i t e m > < i t e m > < k e y > < s t r i n g > P R I N C I P A L _ R E C E I V E D < / s t r i n g > < / k e y > < v a l u e > < i n t > 5 < / i n t > < / v a l u e > < / i t e m > < i t e m > < k e y > < s t r i n g > I N T E R E S T _ R E C E I V E D < / s t r i n g > < / k e y > < v a l u e > < i n t > 6 < / i n t > < / v a l u e > < / i t e m > < / C o l u m n D i s p l a y I n d e x > < C o l u m n F r o z e n   / > < C o l u m n C h e c k e d   / > < C o l u m n F i l t e r   / > < S e l e c t i o n F i l t e r   / > < F i l t e r P a r a m e t e r s   / > < I s S o r t D e s c e n d i n g > f a l s e < / I s S o r t D e s c e n d i n g > < / T a b l e W i d g e t G r i d S e r i a l i z a t i o n > ] ] > < / C u s t o m C o n t e n t > < / G e m i n i > 
</file>

<file path=customXml/item2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 C O M M E R C I A L _ L O A N _ 4 c f 6 2 b a e - f 9 e 1 - 4 3 0 6 - 8 0 7 a - f f c b 3 f 5 8 a 4 e 9 < / K e y > < V a l u e   x m l n s : a = " h t t p : / / s c h e m a s . d a t a c o n t r a c t . o r g / 2 0 0 4 / 0 7 / M i c r o s o f t . A n a l y s i s S e r v i c e s . C o m m o n " > < a : H a s F o c u s > t r u e < / a : H a s F o c u s > < a : S i z e A t D p i 9 6 > 1 1 7 < / a : S i z e A t D p i 9 6 > < a : V i s i b l e > t r u e < / a : V i s i b l e > < / V a l u e > < / K e y V a l u e O f s t r i n g S a n d b o x E d i t o r . M e a s u r e G r i d S t a t e S c d E 3 5 R y > < K e y V a l u e O f s t r i n g S a n d b o x E d i t o r . M e a s u r e G r i d S t a t e S c d E 3 5 R y > < K e y > P U B L I C _ S E C T O R _ L O A N _ 4 f 9 0 7 e 3 9 - 7 a c 1 - 4 7 d 5 - 8 c 0 0 - e 5 0 4 c 0 e 3 c f e 6 < / K e y > < V a l u e   x m l n s : a = " h t t p : / / s c h e m a s . d a t a c o n t r a c t . o r g / 2 0 0 4 / 0 7 / M i c r o s o f t . A n a l y s i s S e r v i c e s . C o m m o n " > < a : H a s F o c u s > f a l s e < / a : H a s F o c u s > < a : S i z e A t D p i 9 6 > 1 1 7 < / a : S i z e A t D p i 9 6 > < a : V i s i b l e > t r u e < / a : V i s i b l e > < / V a l u e > < / K e y V a l u e O f s t r i n g S a n d b o x E d i t o r . M e a s u r e G r i d S t a t e S c d E 3 5 R y > < K e y V a l u e O f s t r i n g S a n d b o x E d i t o r . M e a s u r e G r i d S t a t e S c d E 3 5 R y > < K e y > R E S I D E N T I A L _ L O A N _ a 4 f b e 5 7 b - 2 7 9 b - 4 2 e 2 - 9 6 4 1 - b 7 4 e 1 b c 6 3 f a 1 < / K e y > < V a l u e   x m l n s : a = " h t t p : / / s c h e m a s . d a t a c o n t r a c t . o r g / 2 0 0 4 / 0 7 / M i c r o s o f t . A n a l y s i s S e r v i c e s . C o m m o n " > < a : H a s F o c u s > f a l s e < / a : H a s F o c u s > < a : S i z e A t D p i 9 6 > 1 1 7 < / a : S i z e A t D p i 9 6 > < a : V i s i b l e > t r u e < / a : V i s i b l e > < / V a l u e > < / K e y V a l u e O f s t r i n g S a n d b o x E d i t o r . M e a s u r e G r i d S t a t e S c d E 3 5 R y > < K e y V a l u e O f s t r i n g S a n d b o x E d i t o r . M e a s u r e G r i d S t a t e S c d E 3 5 R y > < K e y > C O V E R E D _ B O N D _ 5 5 f 7 f e d 9 - b 5 5 e - 4 9 1 f - 8 0 9 4 - 7 a 1 e 8 c e a c 1 b d < / K e y > < V a l u e   x m l n s : a = " h t t p : / / s c h e m a s . d a t a c o n t r a c t . o r g / 2 0 0 4 / 0 7 / M i c r o s o f t . A n a l y s i s S e r v i c e s . C o m m o n " > < a : H a s F o c u s > f a l s e < / a : H a s F o c u s > < a : S i z e A t D p i 9 6 > 1 1 5 < / a : S i z e A t D p i 9 6 > < a : V i s i b l e > t r u e < / a : V i s i b l e > < / V a l u e > < / K e y V a l u e O f s t r i n g S a n d b o x E d i t o r . M e a s u r e G r i d S t a t e S c d E 3 5 R y > < K e y V a l u e O f s t r i n g S a n d b o x E d i t o r . M e a s u r e G r i d S t a t e S c d E 3 5 R y > < K e y > D a t a U p d a t e i n f o _ e 3 0 a 0 a 4 b - b f 1 3 - 4 d 0 6 - 8 3 3 d - f 2 5 8 b b e a 4 5 9 f < / 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2.xml><?xml version="1.0" encoding="utf-8"?>
<?mso-contentType ?>
<FormTemplates xmlns="http://schemas.microsoft.com/sharepoint/v3/contenttype/forms">
  <Display>DocumentLibraryForm</Display>
  <Edit>DocumentLibraryForm</Edit>
  <New>DocumentLibraryForm</New>
</FormTemplates>
</file>

<file path=customXml/item23.xml>��< ? x m l   v e r s i o n = " 1 . 0 "   e n c o d i n g = " U T F - 1 6 " ? > < G e m i n i   x m l n s = " h t t p : / / g e m i n i / p i v o t c u s t o m i z a t i o n / T a b l e X M L _ D a t a U p d a t e i n f o _ e 3 0 a 0 a 4 b - b f 1 3 - 4 d 0 6 - 8 3 3 d - f 2 5 8 b b e a 4 5 9 f " > < C u s t o m C o n t e n t > < ! [ C D A T A [ < T a b l e W i d g e t G r i d S e r i a l i z a t i o n   x m l n s : x s i = " h t t p : / / w w w . w 3 . o r g / 2 0 0 1 / X M L S c h e m a - i n s t a n c e "   x m l n s : x s d = " h t t p : / / w w w . w 3 . o r g / 2 0 0 1 / X M L S c h e m a " > < C o l u m n S u g g e s t e d T y p e   / > < C o l u m n F o r m a t   / > < C o l u m n A c c u r a c y   / > < C o l u m n C u r r e n c y S y m b o l   / > < C o l u m n P o s i t i v e P a t t e r n   / > < C o l u m n N e g a t i v e P a t t e r n   / > < C o l u m n W i d t h s > < i t e m > < k e y > < s t r i n g > S t i c h t a g < / s t r i n g > < / k e y > < v a l u e > < i n t > 8 4 < / i n t > < / v a l u e > < / i t e m > < i t e m > < k e y > < s t r i n g > L e t z t e   A k t u a l i s i e r u n g < / s t r i n g > < / k e y > < v a l u e > < i n t > 1 6 7 < / i n t > < / v a l u e > < / i t e m > < / C o l u m n W i d t h s > < C o l u m n D i s p l a y I n d e x > < i t e m > < k e y > < s t r i n g > S t i c h t a g < / s t r i n g > < / k e y > < v a l u e > < i n t > 0 < / i n t > < / v a l u e > < / i t e m > < i t e m > < k e y > < s t r i n g > L e t z t e   A k t u a l i s i e r u n g < / s t r i n g > < / k e y > < v a l u e > < i n t > 1 < / i n t > < / v a l u e > < / i t e m > < / C o l u m n D i s p l a y I n d e x > < C o l u m n F r o z e n   / > < C o l u m n C h e c k e d   / > < C o l u m n F i l t e r   / > < S e l e c t i o n F i l t e r   / > < F i l t e r P a r a m e t e r s   / > < I s S o r t D e s c e n d i n g > f a l s e < / I s S o r t D e s c e n d i n g > < / T a b l e W i d g e t G r i d S e r i a l i z a t i o n > ] ] > < / C u s t o m C o n t e n t > < / G e m i n i > 
</file>

<file path=customXml/item24.xml>��< ? x m l   v e r s i o n = " 1 . 0 "   e n c o d i n g = " U T F - 1 6 " ? > < G e m i n i   x m l n s = " h t t p : / / g e m i n i / p i v o t c u s t o m i z a t i o n / P o w e r P i v o t V e r s i o n " > < C u s t o m C o n t e n t > < ! [ C D A T A [ 2 0 1 5 . 1 3 0 . 1 6 0 5 . 9 1 3 ] ] > < / C u s t o m C o n t e n t > < / G e m i n i > 
</file>

<file path=customXml/item25.xml>��< ? x m l   v e r s i o n = " 1 . 0 "   e n c o d i n g = " U T F - 1 6 " ? > < G e m i n i   x m l n s = " h t t p : / / g e m i n i / p i v o t c u s t o m i z a t i o n / S h o w H i d d e n " > < C u s t o m C o n t e n t > < ! [ C D A T A [ T r u e ] ] > < / C u s t o m C o n t e n t > < / G e m i n i > 
</file>

<file path=customXml/item26.xml>��< ? x m l   v e r s i o n = " 1 . 0 "   e n c o d i n g = " U T F - 1 6 " ? > < G e m i n i   x m l n s = " h t t p : / / g e m i n i / p i v o t c u s t o m i z a t i o n / I s S a n d b o x E m b e d d e d " > < C u s t o m C o n t e n t > < ! [ C D A T A [ y e s ] ] > < / C u s t o m C o n t e n t > < / G e m i n i > 
</file>

<file path=customXml/item27.xml>��< ? x m l   v e r s i o n = " 1 . 0 "   e n c o d i n g = " U T F - 1 6 " ? > < G e m i n i   x m l n s = " h t t p : / / g e m i n i / p i v o t c u s t o m i z a t i o n / C l i e n t W i n d o w X M L " > < C u s t o m C o n t e n t > < ! [ C D A T A [ P U B L I C _ S E C T O R _ L O A N _ 4 f 9 0 7 e 3 9 - 7 a c 1 - 4 7 d 5 - 8 c 0 0 - e 5 0 4 c 0 e 3 c f e 6 ] ] > < / C u s t o m C o n t e n t > < / G e m i n i > 
</file>

<file path=customXml/item28.xml>��< ? x m l   v e r s i o n = " 1 . 0 "   e n c o d i n g = " U T F - 1 6 " ? > < G e m i n i   x m l n s = " h t t p : / / g e m i n i / p i v o t c u s t o m i z a t i o n / M a n u a l C a l c M o d e " > < C u s t o m C o n t e n t > < ! [ C D A T A [ F a l s e ] ] > < / C u s t o m C o n t e n t > < / G e m i n i > 
</file>

<file path=customXml/item3.xml>��< ? x m l   v e r s i o n = " 1 . 0 "   e n c o d i n g = " U T F - 1 6 " ? > < G e m i n i   x m l n s = " h t t p : / / g e m i n i / p i v o t c u s t o m i z a t i o n / T a b l e X M L _ R E S I D E N T I A L _ L O A N _ a 4 f b e 5 7 b - 2 7 9 b - 4 2 e 2 - 9 6 4 1 - b 7 4 e 1 b c 6 3 f a 1 " > < 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 K O N T O N U M M E R < / s t r i n g > < / k e y > < v a l u e > < i n t > 1 3 8 < / i n t > < / v a l u e > < / i t e m > < i t e m > < k e y > < s t r i n g > S L I C E < / s t r i n g > < / k e y > < v a l u e > < i n t > 1 0 6 < / i n t > < / v a l u e > < / i t e m > < i t e m > < k e y > < s t r i n g > L T V < / s t r i n g > < / k e y > < v a l u e > < i n t > 1 5 8 < / i n t > < / v a l u e > < / i t e m > < i t e m > < k e y > < s t r i n g > L T V _ B U C K E T < / s t r i n g > < / k e y > < v a l u e > < i n t > 1 1 1 < / i n t > < / v a l u e > < / i t e m > < i t e m > < k e y > < s t r i n g > K U N D E N N U M M E R < / s t r i n g > < / k e y > < v a l u e > < i n t > 1 4 7 < / i n t > < / v a l u e > < / i t e m > < i t e m > < k e y > < s t r i n g > S E A S O N I N G < / s t r i n g > < / k e y > < v a l u e > < i n t > 1 7 1 < / i n t > < / v a l u e > < / i t e m > < i t e m > < k e y > < s t r i n g > S E A S O N I N G _ B U C K E T < / s t r i n g > < / k e y > < v a l u e > < i n t > 1 6 3 < / i n t > < / v a l u e > < / i t e m > < i t e m > < k e y > < s t r i n g > R E M A I N I N G _ T E R M < / s t r i n g > < / k e y > < v a l u e > < i n t > 2 5 2 < / i n t > < / v a l u e > < / i t e m > < i t e m > < k e y > < s t r i n g > P U R P O S E _ T Y P E < / s t r i n g > < / k e y > < v a l u e > < i n t > 1 2 9 < / i n t > < / v a l u e > < / i t e m > < i t e m > < k e y > < s t r i n g > I N T E R E S T _ P A Y M E N T _ F R E Q U E N C Y < / s t r i n g > < / k e y > < v a l u e > < i n t > 2 3 8 < / i n t > < / v a l u e > < / i t e m > < i t e m > < k e y > < s t r i n g > P R I N C I P A L _ P A Y M E N T _ F R E Q U E N C Y < / s t r i n g > < / k e y > < v a l u e > < i n t > 2 4 5 < / i n t > < / v a l u e > < / i t e m > < i t e m > < k e y > < s t r i n g > I N T E R E S T _ R A T E _ T Y P E < / s t r i n g > < / k e y > < v a l u e > < i n t > 1 6 6 < / i n t > < / v a l u e > < / i t e m > < i t e m > < k e y > < s t r i n g > F I X E D _ I N T E R E S T _ R A T E < / s t r i n g > < / k e y > < v a l u e > < i n t > 1 7 2 < / i n t > < / v a l u e > < / i t e m > < i t e m > < k e y > < s t r i n g > I N T E R E S T _ M A R G I N < / s t r i n g > < / k e y > < v a l u e > < i n t > 1 5 2 < / i n t > < / v a l u e > < / i t e m > < i t e m > < k e y > < s t r i n g > E M P L O Y M E N T _ T Y P E < / s t r i n g > < / k e y > < v a l u e > < i n t > 1 5 8 < / i n t > < / v a l u e > < / i t e m > < i t e m > < k e y > < s t r i n g > V E R Z U G S T A G E < / s t r i n g > < / k e y > < v a l u e > < i n t > 1 2 3 < / i n t > < / v a l u e > < / i t e m > < i t e m > < k e y > < s t r i n g > R E G I O N S < / s t r i n g > < / k e y > < v a l u e > < i n t > 9 1 < / i n t > < / v a l u e > < / i t e m > < i t e m > < k e y > < s t r i n g > N H G _ G U A R A N T E E D < / s t r i n g > < / k e y > < v a l u e > < i n t > 1 5 5 < / i n t > < / v a l u e > < / i t e m > < i t e m > < k e y > < s t r i n g > S E G M E N T < / s t r i n g > < / k e y > < v a l u e > < i n t > 9 5 < / i n t > < / v a l u e > < / i t e m > < i t e m > < k e y > < s t r i n g > P R O P E R T Y _ T Y P E < / s t r i n g > < / k e y > < v a l u e > < i n t > 1 3 5 < / i n t > < / v a l u e > < / i t e m > < i t e m > < k e y > < s t r i n g > O C C U P A N C Y _ T Y P E < / s t r i n g > < / k e y > < v a l u e > < i n t > 1 4 8 < / i n t > < / v a l u e > < / i t e m > < i t e m > < k e y > < s t r i n g > R E M A I N I N G _ F I X E D _ I N T E R E S T _ P E R I O D < / s t r i n g > < / k e y > < v a l u e > < i n t > 2 6 8 < / i n t > < / v a l u e > < / i t e m > < i t e m > < k e y > < s t r i n g > B E W E R T U N G _ C L E A N _ E U R < / s t r i n g > < / k e y > < v a l u e > < i n t > 1 9 2 < / i n t > < / v a l u e > < / i t e m > < i t e m > < k e y > < s t r i n g > N B R _ O F _ P R O P E R T I E S < / s t r i n g > < / k e y > < v a l u e > < i n t > 1 6 7 < / i n t > < / v a l u e > < / i t e m > < i t e m > < k e y > < s t r i n g > P R I O R _ R A N K S _ S E C U R E D _ B Y _ P R O P E R T Y < / s t r i n g > < / k e y > < v a l u e > < i n t > 2 7 7 < / i n t > < / v a l u e > < / i t e m > < i t e m > < k e y > < s t r i n g > S A L D O < / s t r i n g > < / k e y > < v a l u e > < i n t > 7 7 < / i n t > < / v a l u e > < / i t e m > < / C o l u m n W i d t h s > < C o l u m n D i s p l a y I n d e x > < i t e m > < k e y > < s t r i n g > D A T U M < / s t r i n g > < / k e y > < v a l u e > < i n t > 0 < / i n t > < / v a l u e > < / i t e m > < i t e m > < k e y > < s t r i n g > I N S T I T U T S Z U O R D N U N G < / s t r i n g > < / k e y > < v a l u e > < i n t > 1 < / i n t > < / v a l u e > < / i t e m > < i t e m > < k e y > < s t r i n g > K O N T O N U M M E R < / s t r i n g > < / k e y > < v a l u e > < i n t > 2 < / i n t > < / v a l u e > < / i t e m > < i t e m > < k e y > < s t r i n g > S L I C E < / s t r i n g > < / k e y > < v a l u e > < i n t > 3 < / i n t > < / v a l u e > < / i t e m > < i t e m > < k e y > < s t r i n g > L T V < / s t r i n g > < / k e y > < v a l u e > < i n t > 4 < / i n t > < / v a l u e > < / i t e m > < i t e m > < k e y > < s t r i n g > L T V _ B U C K E T < / s t r i n g > < / k e y > < v a l u e > < i n t > 5 < / i n t > < / v a l u e > < / i t e m > < i t e m > < k e y > < s t r i n g > K U N D E N N U M M E R < / s t r i n g > < / k e y > < v a l u e > < i n t > 6 < / i n t > < / v a l u e > < / i t e m > < i t e m > < k e y > < s t r i n g > S E A S O N I N G < / s t r i n g > < / k e y > < v a l u e > < i n t > 7 < / i n t > < / v a l u e > < / i t e m > < i t e m > < k e y > < s t r i n g > S E A S O N I N G _ B U C K E T < / s t r i n g > < / k e y > < v a l u e > < i n t > 8 < / i n t > < / v a l u e > < / i t e m > < i t e m > < k e y > < s t r i n g > R E M A I N I N G _ T E R M < / s t r i n g > < / k e y > < v a l u e > < i n t > 9 < / i n t > < / v a l u e > < / i t e m > < i t e m > < k e y > < s t r i n g > P U R P O S E _ T Y P E < / s t r i n g > < / k e y > < v a l u e > < i n t > 1 0 < / i n t > < / v a l u e > < / i t e m > < i t e m > < k e y > < s t r i n g > I N T E R E S T _ P A Y M E N T _ F R E Q U E N C Y < / s t r i n g > < / k e y > < v a l u e > < i n t > 1 1 < / i n t > < / v a l u e > < / i t e m > < i t e m > < k e y > < s t r i n g > P R I N C I P A L _ P A Y M E N T _ F R E Q U E N C Y < / s t r i n g > < / k e y > < v a l u e > < i n t > 1 2 < / i n t > < / v a l u e > < / i t e m > < i t e m > < k e y > < s t r i n g > I N T E R E S T _ R A T E _ T Y P E < / s t r i n g > < / k e y > < v a l u e > < i n t > 1 3 < / i n t > < / v a l u e > < / i t e m > < i t e m > < k e y > < s t r i n g > F I X E D _ I N T E R E S T _ R A T E < / s t r i n g > < / k e y > < v a l u e > < i n t > 1 4 < / i n t > < / v a l u e > < / i t e m > < i t e m > < k e y > < s t r i n g > I N T E R E S T _ M A R G I N < / s t r i n g > < / k e y > < v a l u e > < i n t > 1 5 < / i n t > < / v a l u e > < / i t e m > < i t e m > < k e y > < s t r i n g > E M P L O Y M E N T _ T Y P E < / s t r i n g > < / k e y > < v a l u e > < i n t > 1 6 < / i n t > < / v a l u e > < / i t e m > < i t e m > < k e y > < s t r i n g > V E R Z U G S T A G E < / s t r i n g > < / k e y > < v a l u e > < i n t > 1 7 < / i n t > < / v a l u e > < / i t e m > < i t e m > < k e y > < s t r i n g > R E G I O N S < / s t r i n g > < / k e y > < v a l u e > < i n t > 1 8 < / i n t > < / v a l u e > < / i t e m > < i t e m > < k e y > < s t r i n g > N H G _ G U A R A N T E E D < / s t r i n g > < / k e y > < v a l u e > < i n t > 1 9 < / i n t > < / v a l u e > < / i t e m > < i t e m > < k e y > < s t r i n g > S E G M E N T < / s t r i n g > < / k e y > < v a l u e > < i n t > 2 0 < / i n t > < / v a l u e > < / i t e m > < i t e m > < k e y > < s t r i n g > P R O P E R T Y _ T Y P E < / s t r i n g > < / k e y > < v a l u e > < i n t > 2 1 < / i n t > < / v a l u e > < / i t e m > < i t e m > < k e y > < s t r i n g > O C C U P A N C Y _ T Y P E < / s t r i n g > < / k e y > < v a l u e > < i n t > 2 2 < / i n t > < / v a l u e > < / i t e m > < i t e m > < k e y > < s t r i n g > R E M A I N I N G _ F I X E D _ I N T E R E S T _ P E R I O D < / s t r i n g > < / k e y > < v a l u e > < i n t > 2 3 < / i n t > < / v a l u e > < / i t e m > < i t e m > < k e y > < s t r i n g > B E W E R T U N G _ C L E A N _ E U R < / s t r i n g > < / k e y > < v a l u e > < i n t > 2 4 < / i n t > < / v a l u e > < / i t e m > < i t e m > < k e y > < s t r i n g > N B R _ O F _ P R O P E R T I E S < / s t r i n g > < / k e y > < v a l u e > < i n t > 2 5 < / i n t > < / v a l u e > < / i t e m > < i t e m > < k e y > < s t r i n g > P R I O R _ R A N K S _ S E C U R E D _ B Y _ P R O P E R T Y < / s t r i n g > < / k e y > < v a l u e > < i n t > 2 6 < / i n t > < / v a l u e > < / i t e m > < i t e m > < k e y > < s t r i n g > S A L D O < / s t r i n g > < / k e y > < v a l u e > < i n t > 2 7 < / 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T a b l e X M L _ T a b e l l e 1 " > < C u s t o m C o n t e n t > < ! [ C D A T A [ < T a b l e W i d g e t G r i d S e r i a l i z a t i o n   x m l n s : x s i = " h t t p : / / w w w . w 3 . o r g / 2 0 0 1 / X M L S c h e m a - i n s t a n c e "   x m l n s : x s d = " h t t p : / / w w w . w 3 . o r g / 2 0 0 1 / X M L S c h e m a " > < C o l u m n S u g g e s t e d T y p e   / > < C o l u m n F o r m a t   / > < C o l u m n A c c u r a c y   / > < C o l u m n C u r r e n c y S y m b o l   / > < C o l u m n P o s i t i v e P a t t e r n   / > < C o l u m n N e g a t i v e P a t t e r n   / > < C o l u m n W i d t h s > < i t e m > < k e y > < s t r i n g > a < / s t r i n g > < / k e y > < v a l u e > < i n t > 4 3 < / i n t > < / v a l u e > < / i t e m > < i t e m > < k e y > < s t r i n g > b < / s t r i n g > < / k e y > < v a l u e > < i n t > 4 4 < / i n t > < / v a l u e > < / i t e m > < / C o l u m n W i d t h s > < C o l u m n D i s p l a y I n d e x > < i t e m > < k e y > < s t r i n g > a < / s t r i n g > < / k e y > < v a l u e > < i n t > 0 < / i n t > < / v a l u e > < / i t e m > < i t e m > < k e y > < s t r i n g > b < / s t r i n g > < / k e y > < v a l u e > < i n t > 1 < / i n t > < / v a l u e > < / i t e m > < / C o l u m n D i s p l a y I n d e x > < C o l u m n F r o z e n   / > < C o l u m n C h e c k e d   / > < C o l u m n F i l t e r   / > < S e l e c t i o n F i l t e r   / > < F i l t e r P a r a m e t e r s   / > < I s S o r t D e s c e n d i n g > f a l s e < / I s S o r t D e s c e n d i n g > < / T a b l e W i d g e t G r i d S e r i a l i z a t i o n > ] ] > < / C u s t o m C o n t e n t > < / G e m i n i > 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6.xml>��< ? x m l   v e r s i o n = " 1 . 0 "   e n c o d i n g = " U T F - 1 6 " ? > < G e m i n i   x m l n s = " h t t p : / / g e m i n i / p i v o t c u s t o m i z a t i o n / T a b l e X M L _ P U B L I C _ S E C T O R _ L O A N _ 4 f 9 0 7 e 3 9 - 7 a c 1 - 4 7 d 5 - 8 c 0 0 - e 5 0 4 c 0 e 3 c f e 6 " > < 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 D E B T O R _ N A M E < / s t r i n g > < / k e y > < v a l u e > < i n t > 1 3 0 < / i n t > < / v a l u e > < / i t e m > < i t e m > < k e y > < s t r i n g > D E B T O R _ I D E N T I F I E R _ N U M B E R < / s t r i n g > < / k e y > < v a l u e > < i n t > 2 2 0 < / i n t > < / v a l u e > < / i t e m > < i t e m > < k e y > < s t r i n g > T Y P E _ O F _ E X P O S U R E < / s t r i n g > < / k e y > < v a l u e > < i n t > 1 6 0 < / i n t > < / v a l u e > < / i t e m > < i t e m > < k e y > < s t r i n g > D E B T O R _ C O U N T R Y < / s t r i n g > < / k e y > < v a l u e > < i n t > 1 5 1 < / i n t > < / v a l u e > < / i t e m > < i t e m > < k e y > < s t r i n g > D E B T O R _ R E G I O N < / s t r i n g > < / k e y > < v a l u e > < i n t > 1 4 0 < / i n t > < / v a l u e > < / i t e m > < i t e m > < k e y > < s t r i n g > L O A N _ I D E N T I F I E R _ N U M B E R < / s t r i n g > < / k e y > < v a l u e > < i n t > 2 0 6 < / i n t > < / v a l u e > < / i t e m > < i t e m > < k e y > < s t r i n g > L O A N _ C U R R E N C Y < / s t r i n g > < / k e y > < v a l u e > < i n t > 1 4 3 < / i n t > < / v a l u e > < / i t e m > < i t e m > < k e y > < s t r i n g > L O A N _ B A L A N C E _ 1 < / s t r i n g > < / k e y > < v a l u e > < i n t > 1 4 9 < / i n t > < / v a l u e > < / i t e m > < i t e m > < k e y > < s t r i n g > L O A N _ B A L A N C E _ 2 < / s t r i n g > < / k e y > < v a l u e > < i n t > 1 4 9 < / i n t > < / v a l u e > < / i t e m > < i t e m > < k e y > < s t r i n g > M A T U R I T Y _ D A T E < / s t r i n g > < / k e y > < v a l u e > < i n t > 1 3 6 < / i n t > < / v a l u e > < / i t e m > < i t e m > < k e y > < s t r i n g > S E A S O N I N G < / s t r i n g > < / k e y > < v a l u e > < i n t > 1 0 9 < / i n t > < / v a l u e > < / i t e m > < i t e m > < k e y > < s t r i n g > R E M A I N I N G _ T E R M < / s t r i n g > < / k e y > < v a l u e > < i n t > 1 5 0 < / i n t > < / v a l u e > < / i t e m > < i t e m > < k e y > < s t r i n g > P R I N C I P A L _ R E P A Y M E N T _ M E T H O D < / s t r i n g > < / k e y > < v a l u e > < i n t > 2 4 2 < / i n t > < / v a l u e > < / i t e m > < i t e m > < k e y > < s t r i n g > I N T E R E S T _ R A T E _ T Y P E < / s t r i n g > < / k e y > < v a l u e > < i n t > 1 6 6 < / i n t > < / v a l u e > < / i t e m > < i t e m > < k e y > < s t r i n g > F I X E D _ I N T E R E S T _ R A T E < / s t r i n g > < / k e y > < v a l u e > < i n t > 1 7 2 < / i n t > < / v a l u e > < / i t e m > < i t e m > < k e y > < s t r i n g > I N T E R E S T _ M A R G I N < / s t r i n g > < / k e y > < v a l u e > < i n t > 1 5 2 < / i n t > < / v a l u e > < / i t e m > < i t e m > < k e y > < s t r i n g > B A S I S _ R A T E < / s t r i n g > < / k e y > < v a l u e > < i n t > 1 0 8 < / i n t > < / v a l u e > < / i t e m > < i t e m > < k e y > < s t r i n g > E L I G I B L E _ F O R _ E C B _ O R _ C E N T R A L _ B A N K < / s t r i n g > < / k e y > < v a l u e > < i n t > 2 7 8 < / i n t > < / v a l u e > < / i t e m > < i t e m > < k e y > < s t r i n g > L O A N _ P E R F O R M I N G < / s t r i n g > < / k e y > < v a l u e > < i n t > 1 6 1 < / i n t > < / v a l u e > < / i t e m > < i t e m > < k e y > < s t r i n g > B A C K E D _ B Y _ M O R T G A G E < / s t r i n g > < / k e y > < v a l u e > < i n t > 1 8 5 < / i n t > < / v a l u e > < / i t e m > < i t e m > < k e y > < s t r i n g > L T V < / s t r i n g > < / k e y > < v a l u e > < i n t > 5 7 < / i n t > < / v a l u e > < / i t e m > < i t e m > < k e y > < s t r i n g > L A R G E S T _ G O V E R N M E N T _ G U A R A N T O R _ N A M E < / s t r i n g > < / k e y > < v a l u e > < i n t > 3 1 6 < / i n t > < / v a l u e > < / i t e m > < i t e m > < k e y > < s t r i n g > L A R G E S T _ G O V E R N M E N T _ G U A R A N T O R _ I D E N T I F I E R _ N U M B E R < / s t r i n g > < / k e y > < v a l u e > < i n t > 4 0 6 < / i n t > < / v a l u e > < / i t e m > < i t e m > < k e y > < s t r i n g > L A R G E S T _ G O V E R N M E N T _ G U A R A N T O R _ C O U N T R Y < / s t r i n g > < / k e y > < v a l u e > < i n t > 3 3 7 < / i n t > < / v a l u e > < / i t e m > < i t e m > < k e y > < s t r i n g > L A R G E S T _ G O V E R N M E N T _ G U A R A N T O R _ R E G I O N < / s t r i n g > < / k e y > < v a l u e > < i n t > 3 2 6 < / i n t > < / v a l u e > < / i t e m > < i t e m > < k e y > < s t r i n g > D E B T O R _ P O S T A L _ C O D E < / s t r i n g > < / k e y > < v a l u e > < i n t > 1 7 9 < / i n t > < / v a l u e > < / i t e m > < i t e m > < k e y > < s t r i n g > L A R G E S T _ G O V E R N M E N T _ G U A R A N T O R _ P O S T A L _ C O D E < / s t r i n g > < / k e y > < v a l u e > < i n t > 3 6 5 < / i n t > < / v a l u e > < / i t e m > < i t e m > < k e y > < s t r i n g > L A R G E S T _ G O V E R N M E N T _ G U A R A N T O R _ T Y P E < / s t r i n g > < / k e y > < v a l u e > < i n t > 3 0 7 < / i n t > < / v a l u e > < / i t e m > < i t e m > < k e y > < s t r i n g > N B R _ O F _ G O V E R N M E N T _ G U A R A N T O R S < / s t r i n g > < / k e y > < v a l u e > < i n t > 2 7 5 < / i n t > < / v a l u e > < / i t e m > < i t e m > < k e y > < s t r i n g > O W N E R S H I P _ P O S I T I O N < / s t r i n g > < / k e y > < v a l u e > < i n t > 1 7 9 < / i n t > < / v a l u e > < / i t e m > < i t e m > < k e y > < s t r i n g > S E C T O R < / s t r i n g > < / k e y > < v a l u e > < i n t > 8 3 < / i n t > < / v a l u e > < / i t e m > < i t e m > < k e y > < s t r i n g > R E M A I N I N G _ F I X E D _ I N T E R E S T _ P E R I O D < / s t r i n g > < / k e y > < v a l u e > < i n t > 2 6 8 < / i n t > < / v a l u e > < / i t e m > < i t e m > < k e y > < s t r i n g > B E W E R T U N G _ C L E A N _ E U R < / s t r i n g > < / k e y > < v a l u e > < i n t > 1 9 2 < / i n t > < / v a l u e > < / i t e m > < / C o l u m n W i d t h s > < C o l u m n D i s p l a y I n d e x > < i t e m > < k e y > < s t r i n g > D A T U M < / s t r i n g > < / k e y > < v a l u e > < i n t > 0 < / i n t > < / v a l u e > < / i t e m > < i t e m > < k e y > < s t r i n g > I N S T I T U T S Z U O R D N U N G < / s t r i n g > < / k e y > < v a l u e > < i n t > 1 < / i n t > < / v a l u e > < / i t e m > < i t e m > < k e y > < s t r i n g > D E B T O R _ N A M E < / s t r i n g > < / k e y > < v a l u e > < i n t > 2 < / i n t > < / v a l u e > < / i t e m > < i t e m > < k e y > < s t r i n g > D E B T O R _ I D E N T I F I E R _ N U M B E R < / s t r i n g > < / k e y > < v a l u e > < i n t > 3 < / i n t > < / v a l u e > < / i t e m > < i t e m > < k e y > < s t r i n g > T Y P E _ O F _ E X P O S U R E < / s t r i n g > < / k e y > < v a l u e > < i n t > 4 < / i n t > < / v a l u e > < / i t e m > < i t e m > < k e y > < s t r i n g > D E B T O R _ C O U N T R Y < / s t r i n g > < / k e y > < v a l u e > < i n t > 5 < / i n t > < / v a l u e > < / i t e m > < i t e m > < k e y > < s t r i n g > D E B T O R _ R E G I O N < / s t r i n g > < / k e y > < v a l u e > < i n t > 6 < / i n t > < / v a l u e > < / i t e m > < i t e m > < k e y > < s t r i n g > L O A N _ I D E N T I F I E R _ N U M B E R < / s t r i n g > < / k e y > < v a l u e > < i n t > 7 < / i n t > < / v a l u e > < / i t e m > < i t e m > < k e y > < s t r i n g > L O A N _ C U R R E N C Y < / s t r i n g > < / k e y > < v a l u e > < i n t > 8 < / i n t > < / v a l u e > < / i t e m > < i t e m > < k e y > < s t r i n g > L O A N _ B A L A N C E _ 1 < / s t r i n g > < / k e y > < v a l u e > < i n t > 9 < / i n t > < / v a l u e > < / i t e m > < i t e m > < k e y > < s t r i n g > L O A N _ B A L A N C E _ 2 < / s t r i n g > < / k e y > < v a l u e > < i n t > 1 0 < / i n t > < / v a l u e > < / i t e m > < i t e m > < k e y > < s t r i n g > M A T U R I T Y _ D A T E < / s t r i n g > < / k e y > < v a l u e > < i n t > 1 1 < / i n t > < / v a l u e > < / i t e m > < i t e m > < k e y > < s t r i n g > S E A S O N I N G < / s t r i n g > < / k e y > < v a l u e > < i n t > 1 2 < / i n t > < / v a l u e > < / i t e m > < i t e m > < k e y > < s t r i n g > R E M A I N I N G _ T E R M < / s t r i n g > < / k e y > < v a l u e > < i n t > 1 3 < / i n t > < / v a l u e > < / i t e m > < i t e m > < k e y > < s t r i n g > P R I N C I P A L _ R E P A Y M E N T _ M E T H O D < / s t r i n g > < / k e y > < v a l u e > < i n t > 1 4 < / i n t > < / v a l u e > < / i t e m > < i t e m > < k e y > < s t r i n g > I N T E R E S T _ R A T E _ T Y P E < / s t r i n g > < / k e y > < v a l u e > < i n t > 1 5 < / i n t > < / v a l u e > < / i t e m > < i t e m > < k e y > < s t r i n g > F I X E D _ I N T E R E S T _ R A T E < / s t r i n g > < / k e y > < v a l u e > < i n t > 1 6 < / i n t > < / v a l u e > < / i t e m > < i t e m > < k e y > < s t r i n g > I N T E R E S T _ M A R G I N < / s t r i n g > < / k e y > < v a l u e > < i n t > 1 7 < / i n t > < / v a l u e > < / i t e m > < i t e m > < k e y > < s t r i n g > B A S I S _ R A T E < / s t r i n g > < / k e y > < v a l u e > < i n t > 1 8 < / i n t > < / v a l u e > < / i t e m > < i t e m > < k e y > < s t r i n g > E L I G I B L E _ F O R _ E C B _ O R _ C E N T R A L _ B A N K < / s t r i n g > < / k e y > < v a l u e > < i n t > 1 9 < / i n t > < / v a l u e > < / i t e m > < i t e m > < k e y > < s t r i n g > L O A N _ P E R F O R M I N G < / s t r i n g > < / k e y > < v a l u e > < i n t > 2 0 < / i n t > < / v a l u e > < / i t e m > < i t e m > < k e y > < s t r i n g > B A C K E D _ B Y _ M O R T G A G E < / s t r i n g > < / k e y > < v a l u e > < i n t > 2 1 < / i n t > < / v a l u e > < / i t e m > < i t e m > < k e y > < s t r i n g > L T V < / s t r i n g > < / k e y > < v a l u e > < i n t > 2 2 < / i n t > < / v a l u e > < / i t e m > < i t e m > < k e y > < s t r i n g > L A R G E S T _ G O V E R N M E N T _ G U A R A N T O R _ N A M E < / s t r i n g > < / k e y > < v a l u e > < i n t > 2 3 < / i n t > < / v a l u e > < / i t e m > < i t e m > < k e y > < s t r i n g > L A R G E S T _ G O V E R N M E N T _ G U A R A N T O R _ I D E N T I F I E R _ N U M B E R < / s t r i n g > < / k e y > < v a l u e > < i n t > 2 4 < / i n t > < / v a l u e > < / i t e m > < i t e m > < k e y > < s t r i n g > L A R G E S T _ G O V E R N M E N T _ G U A R A N T O R _ C O U N T R Y < / s t r i n g > < / k e y > < v a l u e > < i n t > 2 5 < / i n t > < / v a l u e > < / i t e m > < i t e m > < k e y > < s t r i n g > L A R G E S T _ G O V E R N M E N T _ G U A R A N T O R _ R E G I O N < / s t r i n g > < / k e y > < v a l u e > < i n t > 2 6 < / i n t > < / v a l u e > < / i t e m > < i t e m > < k e y > < s t r i n g > D E B T O R _ P O S T A L _ C O D E < / s t r i n g > < / k e y > < v a l u e > < i n t > 2 7 < / i n t > < / v a l u e > < / i t e m > < i t e m > < k e y > < s t r i n g > L A R G E S T _ G O V E R N M E N T _ G U A R A N T O R _ P O S T A L _ C O D E < / s t r i n g > < / k e y > < v a l u e > < i n t > 2 8 < / i n t > < / v a l u e > < / i t e m > < i t e m > < k e y > < s t r i n g > L A R G E S T _ G O V E R N M E N T _ G U A R A N T O R _ T Y P E < / s t r i n g > < / k e y > < v a l u e > < i n t > 2 9 < / i n t > < / v a l u e > < / i t e m > < i t e m > < k e y > < s t r i n g > N B R _ O F _ G O V E R N M E N T _ G U A R A N T O R S < / s t r i n g > < / k e y > < v a l u e > < i n t > 3 0 < / i n t > < / v a l u e > < / i t e m > < i t e m > < k e y > < s t r i n g > O W N E R S H I P _ P O S I T I O N < / s t r i n g > < / k e y > < v a l u e > < i n t > 3 1 < / i n t > < / v a l u e > < / i t e m > < i t e m > < k e y > < s t r i n g > S E C T O R < / s t r i n g > < / k e y > < v a l u e > < i n t > 3 2 < / i n t > < / v a l u e > < / i t e m > < i t e m > < k e y > < s t r i n g > R E M A I N I N G _ F I X E D _ I N T E R E S T _ P E R I O D < / s t r i n g > < / k e y > < v a l u e > < i n t > 3 3 < / i n t > < / v a l u e > < / i t e m > < i t e m > < k e y > < s t r i n g > B E W E R T U N G _ C L E A N _ E U R < / s t r i n g > < / k e y > < v a l u e > < i n t > 3 4 < / i n t > < / v a l u e > < / i t e m > < / C o l u m n D i s p l a y I n d e x > < C o l u m n F r o z e n   / > < C o l u m n C h e c k e d   / > < C o l u m n F i l t e r > < i t e m > < k e y > < s t r i n g > D E B T O R _ C O U N T R Y < / s t r i n g > < / k e y > < v a l u e > < F i l t e r E x p r e s s i o n   x s i : n i l = " t r u e "   / > < / v a l u e > < / i t e m > < / C o l u m n F i l t e r > < S e l e c t i o n F i l t e r > < i t e m > < k e y > < s t r i n g > D E B T O R _ C O U N T R Y < / s t r i n g > < / k e y > < v a l u e > < S e l e c t i o n F i l t e r   x s i : n i l = " t r u e "   / > < / v a l u e > < / i t e m > < / S e l e c t i o n F i l t e r > < F i l t e r P a r a m e t e r s > < i t e m > < k e y > < s t r i n g > D E B T O R _ C O U N T R Y < / s t r i n g > < / k e y > < v a l u e > < C o m m a n d P a r a m e t e r s   / > < / v a l u e > < / i t e m > < / F i l t e r P a r a m e t e r s > < I s S o r t D e s c e n d i n g > f a l s e < / I s S o r t D e s c e n d i n g > < / T a b l e W i d g e t G r i d S e r i a l i z a t i o n > ] ] > < / C u s t o m C o n t e n t > < / G e m i n i > 
</file>

<file path=customXml/item7.xml>��< ? x m l   v e r s i o n = " 1 . 0 "   e n c o d i n g = " U T F - 1 6 " ? > < G e m i n i   x m l n s = " h t t p : / / g e m i n i / p i v o t c u s t o m i z a t i o n / S a n d b o x N o n E m p t y " > < C u s t o m C o n t e n t > < ! [ C D A T A [ 1 ] ] > < / C u s t o m C o n t e n t > < / G e m i n i > 
</file>

<file path=customXml/item8.xml>��< ? x m l   v e r s i o n = " 1 . 0 "   e n c o d i n g = " U T F - 1 6 " ? > < G e m i n i   x m l n s = " h t t p : / / g e m i n i / p i v o t c u s t o m i z a t i o n / T a b l e O r d e r " > < C u s t o m C o n t e n t > < ! [ C D A T A [ C O M M E R C I A L _ L O A N _ 4 c f 6 2 b a e - f 9 e 1 - 4 3 0 6 - 8 0 7 a - f f c b 3 f 5 8 a 4 e 9 , C O V E R E D _ B O N D _ 5 5 f 7 f e d 9 - b 5 5 e - 4 9 1 f - 8 0 9 4 - 7 a 1 e 8 c e a c 1 b d , R E S I D E N T I A L _ L O A N _ a 4 f b e 5 7 b - 2 7 9 b - 4 2 e 2 - 9 6 4 1 - b 7 4 e 1 b c 6 3 f a 1 , P U B L I C _ S E C T O R _ L O A N _ 4 f 9 0 7 e 3 9 - 7 a c 1 - 4 7 d 5 - 8 c 0 0 - e 5 0 4 c 0 e 3 c f e 6 , D a t a U p d a t e i n f o _ e 3 0 a 0 a 4 b - b f 1 3 - 4 d 0 6 - 8 3 3 d - f 2 5 8 b b e a 4 5 9 f ] ] > < / C u s t o m C o n t e n t > < / G e m i n i > 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38FF9CA1-04FC-4899-A85A-0CD3A5C6A76A}">
  <ds:schemaRefs/>
</ds:datastoreItem>
</file>

<file path=customXml/itemProps10.xml><?xml version="1.0" encoding="utf-8"?>
<ds:datastoreItem xmlns:ds="http://schemas.openxmlformats.org/officeDocument/2006/customXml" ds:itemID="{839517A1-394B-418E-A0EB-ECA19BB005E4}">
  <ds:schemaRefs>
    <ds:schemaRef ds:uri="http://gemini/pivotcustomization/ShowImplicitMeasures"/>
  </ds:schemaRefs>
</ds:datastoreItem>
</file>

<file path=customXml/itemProps11.xml><?xml version="1.0" encoding="utf-8"?>
<ds:datastoreItem xmlns:ds="http://schemas.openxmlformats.org/officeDocument/2006/customXml" ds:itemID="{718EDDAF-EE60-41AF-9420-D3FCF7DC674E}">
  <ds:schemaRefs>
    <ds:schemaRef ds:uri="http://gemini/pivotcustomization/TableXML_COVERED_BOND_CASHFLOW_fbcce153-7714-45b3-8c30-961971b24994"/>
  </ds:schemaRefs>
</ds:datastoreItem>
</file>

<file path=customXml/itemProps12.xml><?xml version="1.0" encoding="utf-8"?>
<ds:datastoreItem xmlns:ds="http://schemas.openxmlformats.org/officeDocument/2006/customXml" ds:itemID="{C32565A5-3125-44B3-A89A-F287AD159288}">
  <ds:schemaRefs>
    <ds:schemaRef ds:uri="http://gemini/pivotcustomization/LinkedTableUpdateMode"/>
  </ds:schemaRefs>
</ds:datastoreItem>
</file>

<file path=customXml/itemProps13.xml><?xml version="1.0" encoding="utf-8"?>
<ds:datastoreItem xmlns:ds="http://schemas.openxmlformats.org/officeDocument/2006/customXml" ds:itemID="{B33F67A7-FDF3-407B-8C10-3A1AC68D0031}">
  <ds:schemaRefs>
    <ds:schemaRef ds:uri="http://schemas.microsoft.com/DataMashup"/>
  </ds:schemaRefs>
</ds:datastoreItem>
</file>

<file path=customXml/itemProps14.xml><?xml version="1.0" encoding="utf-8"?>
<ds:datastoreItem xmlns:ds="http://schemas.openxmlformats.org/officeDocument/2006/customXml" ds:itemID="{CCE72916-D5A3-43E1-A936-881D983A2311}">
  <ds:schemaRefs>
    <ds:schemaRef ds:uri="http://gemini/pivotcustomization/TableXML_STAGE_FX_RATE_614b41e9-c376-4904-be23-d93c2b76289c"/>
  </ds:schemaRefs>
</ds:datastoreItem>
</file>

<file path=customXml/itemProps15.xml><?xml version="1.0" encoding="utf-8"?>
<ds:datastoreItem xmlns:ds="http://schemas.openxmlformats.org/officeDocument/2006/customXml" ds:itemID="{2C7A79CF-CE4E-41FA-9C78-247CD7E05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960ba-af66-4646-a5ac-6578ee52b2b1"/>
    <ds:schemaRef ds:uri="1dc82490-c741-4406-bddd-9ead5a1c3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6.xml><?xml version="1.0" encoding="utf-8"?>
<ds:datastoreItem xmlns:ds="http://schemas.openxmlformats.org/officeDocument/2006/customXml" ds:itemID="{DA729D57-B264-40F8-845F-AF40B3141F21}">
  <ds:schemaRefs/>
</ds:datastoreItem>
</file>

<file path=customXml/itemProps17.xml><?xml version="1.0" encoding="utf-8"?>
<ds:datastoreItem xmlns:ds="http://schemas.openxmlformats.org/officeDocument/2006/customXml" ds:itemID="{84ADE108-A0CE-4DDF-B4B4-1762439A09B3}">
  <ds:schemaRefs/>
</ds:datastoreItem>
</file>

<file path=customXml/itemProps18.xml><?xml version="1.0" encoding="utf-8"?>
<ds:datastoreItem xmlns:ds="http://schemas.openxmlformats.org/officeDocument/2006/customXml" ds:itemID="{D93AB072-0502-4B78-AC03-1E1467A3A43D}">
  <ds:schemaRefs>
    <ds:schemaRef ds:uri="http://gemini/pivotcustomization/FormulaBarState"/>
  </ds:schemaRefs>
</ds:datastoreItem>
</file>

<file path=customXml/itemProps19.xml><?xml version="1.0" encoding="utf-8"?>
<ds:datastoreItem xmlns:ds="http://schemas.openxmlformats.org/officeDocument/2006/customXml" ds:itemID="{56A41FC9-26F9-4595-8B07-35C348795AB0}">
  <ds:schemaRefs/>
</ds:datastoreItem>
</file>

<file path=customXml/itemProps2.xml><?xml version="1.0" encoding="utf-8"?>
<ds:datastoreItem xmlns:ds="http://schemas.openxmlformats.org/officeDocument/2006/customXml" ds:itemID="{7A04B3B1-7F11-4C1A-9359-516680FC03DD}">
  <ds:schemaRefs/>
</ds:datastoreItem>
</file>

<file path=customXml/itemProps20.xml><?xml version="1.0" encoding="utf-8"?>
<ds:datastoreItem xmlns:ds="http://schemas.openxmlformats.org/officeDocument/2006/customXml" ds:itemID="{11585A3A-EEE0-4C8A-96C6-23EFA8F85ACA}">
  <ds:schemaRefs>
    <ds:schemaRef ds:uri="http://gemini/pivotcustomization/TableXML_LOAN_CASHFLOW_12715840-ba4f-4fbe-ba8f-76989afd807d"/>
  </ds:schemaRefs>
</ds:datastoreItem>
</file>

<file path=customXml/itemProps21.xml><?xml version="1.0" encoding="utf-8"?>
<ds:datastoreItem xmlns:ds="http://schemas.openxmlformats.org/officeDocument/2006/customXml" ds:itemID="{40A26624-266A-47E5-A697-C5070611F632}">
  <ds:schemaRefs/>
</ds:datastoreItem>
</file>

<file path=customXml/itemProps22.xml><?xml version="1.0" encoding="utf-8"?>
<ds:datastoreItem xmlns:ds="http://schemas.openxmlformats.org/officeDocument/2006/customXml" ds:itemID="{82C78A39-B9E5-4C4F-A222-58B137DE416E}">
  <ds:schemaRefs>
    <ds:schemaRef ds:uri="http://schemas.microsoft.com/sharepoint/v3/contenttype/forms"/>
  </ds:schemaRefs>
</ds:datastoreItem>
</file>

<file path=customXml/itemProps23.xml><?xml version="1.0" encoding="utf-8"?>
<ds:datastoreItem xmlns:ds="http://schemas.openxmlformats.org/officeDocument/2006/customXml" ds:itemID="{58139DE6-C286-4A2A-B994-D35F234BAA7B}">
  <ds:schemaRefs>
    <ds:schemaRef ds:uri="http://gemini/pivotcustomization/TableXML_DataUpdateinfo_e30a0a4b-bf13-4d06-833d-f258bbea459f"/>
  </ds:schemaRefs>
</ds:datastoreItem>
</file>

<file path=customXml/itemProps24.xml><?xml version="1.0" encoding="utf-8"?>
<ds:datastoreItem xmlns:ds="http://schemas.openxmlformats.org/officeDocument/2006/customXml" ds:itemID="{AC89BAB1-F20B-42E0-9011-5F29CFCE6500}">
  <ds:schemaRefs/>
</ds:datastoreItem>
</file>

<file path=customXml/itemProps25.xml><?xml version="1.0" encoding="utf-8"?>
<ds:datastoreItem xmlns:ds="http://schemas.openxmlformats.org/officeDocument/2006/customXml" ds:itemID="{9D605CA3-ED85-4D88-A0A4-C37DD8FA1832}">
  <ds:schemaRefs>
    <ds:schemaRef ds:uri="http://gemini/pivotcustomization/ShowHidden"/>
  </ds:schemaRefs>
</ds:datastoreItem>
</file>

<file path=customXml/itemProps26.xml><?xml version="1.0" encoding="utf-8"?>
<ds:datastoreItem xmlns:ds="http://schemas.openxmlformats.org/officeDocument/2006/customXml" ds:itemID="{1EF7387B-28D3-4651-A896-FAA90B726915}">
  <ds:schemaRefs/>
</ds:datastoreItem>
</file>

<file path=customXml/itemProps27.xml><?xml version="1.0" encoding="utf-8"?>
<ds:datastoreItem xmlns:ds="http://schemas.openxmlformats.org/officeDocument/2006/customXml" ds:itemID="{9BAB0580-DDD3-426F-8070-8BFC7AF5E340}">
  <ds:schemaRefs/>
</ds:datastoreItem>
</file>

<file path=customXml/itemProps28.xml><?xml version="1.0" encoding="utf-8"?>
<ds:datastoreItem xmlns:ds="http://schemas.openxmlformats.org/officeDocument/2006/customXml" ds:itemID="{50088573-E59F-422D-A7B1-8CDF2E23ABA3}">
  <ds:schemaRefs>
    <ds:schemaRef ds:uri="http://gemini/pivotcustomization/ManualCalcMode"/>
  </ds:schemaRefs>
</ds:datastoreItem>
</file>

<file path=customXml/itemProps3.xml><?xml version="1.0" encoding="utf-8"?>
<ds:datastoreItem xmlns:ds="http://schemas.openxmlformats.org/officeDocument/2006/customXml" ds:itemID="{F172B6D7-D18D-4A11-BB8A-2EA249CBFAB7}">
  <ds:schemaRefs/>
</ds:datastoreItem>
</file>

<file path=customXml/itemProps4.xml><?xml version="1.0" encoding="utf-8"?>
<ds:datastoreItem xmlns:ds="http://schemas.openxmlformats.org/officeDocument/2006/customXml" ds:itemID="{6B8BCBDC-BA41-4816-BE42-248191009854}">
  <ds:schemaRefs>
    <ds:schemaRef ds:uri="http://gemini/pivotcustomization/TableXML_Tabelle1"/>
  </ds:schemaRefs>
</ds:datastoreItem>
</file>

<file path=customXml/itemProps5.xml><?xml version="1.0" encoding="utf-8"?>
<ds:datastoreItem xmlns:ds="http://schemas.openxmlformats.org/officeDocument/2006/customXml" ds:itemID="{7CA73CB8-32D3-40F2-8A4B-68246EB54072}">
  <ds:schemaRefs>
    <ds:schemaRef ds:uri="http://schemas.microsoft.com/office/2006/metadata/properties"/>
    <ds:schemaRef ds:uri="http://schemas.microsoft.com/office/infopath/2007/PartnerControls"/>
  </ds:schemaRefs>
</ds:datastoreItem>
</file>

<file path=customXml/itemProps6.xml><?xml version="1.0" encoding="utf-8"?>
<ds:datastoreItem xmlns:ds="http://schemas.openxmlformats.org/officeDocument/2006/customXml" ds:itemID="{1BABDBF5-1C5C-4D74-B9FF-53C717757EF6}">
  <ds:schemaRefs/>
</ds:datastoreItem>
</file>

<file path=customXml/itemProps7.xml><?xml version="1.0" encoding="utf-8"?>
<ds:datastoreItem xmlns:ds="http://schemas.openxmlformats.org/officeDocument/2006/customXml" ds:itemID="{365592BA-F5D0-4E92-9C12-9504D8078D42}">
  <ds:schemaRefs/>
</ds:datastoreItem>
</file>

<file path=customXml/itemProps8.xml><?xml version="1.0" encoding="utf-8"?>
<ds:datastoreItem xmlns:ds="http://schemas.openxmlformats.org/officeDocument/2006/customXml" ds:itemID="{CEB721B2-7D35-4D2B-9EB1-563286F97DF2}">
  <ds:schemaRefs/>
</ds:datastoreItem>
</file>

<file path=customXml/itemProps9.xml><?xml version="1.0" encoding="utf-8"?>
<ds:datastoreItem xmlns:ds="http://schemas.openxmlformats.org/officeDocument/2006/customXml" ds:itemID="{7507B258-3AE9-4C45-AD36-E2E45B6A409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62</vt:i4>
      </vt:variant>
    </vt:vector>
  </HeadingPairs>
  <TitlesOfParts>
    <vt:vector size="65" baseType="lpstr">
      <vt:lpstr>A. General Mortgages</vt:lpstr>
      <vt:lpstr>B1. Mortgage Assets</vt:lpstr>
      <vt:lpstr>C. ISIN List</vt:lpstr>
      <vt:lpstr>AmortisingTypes</vt:lpstr>
      <vt:lpstr>Arrears</vt:lpstr>
      <vt:lpstr>Asset_Types2</vt:lpstr>
      <vt:lpstr>Assets_Backing</vt:lpstr>
      <vt:lpstr>Australia_Region</vt:lpstr>
      <vt:lpstr>BasisRates</vt:lpstr>
      <vt:lpstr>Belgium_Region</vt:lpstr>
      <vt:lpstr>Commercial_Types</vt:lpstr>
      <vt:lpstr>CommercialCollateralTypes</vt:lpstr>
      <vt:lpstr>CountriesEEA</vt:lpstr>
      <vt:lpstr>CountryList</vt:lpstr>
      <vt:lpstr>Czech_Republic_Region</vt:lpstr>
      <vt:lpstr>Debtor_Type</vt:lpstr>
      <vt:lpstr>Eligible_Ineligible</vt:lpstr>
      <vt:lpstr>ExportFinanceType</vt:lpstr>
      <vt:lpstr>Fixed_Floating</vt:lpstr>
      <vt:lpstr>France_Region</vt:lpstr>
      <vt:lpstr>Frequency</vt:lpstr>
      <vt:lpstr>Frequency2</vt:lpstr>
      <vt:lpstr>Frequency3</vt:lpstr>
      <vt:lpstr>Frequency4</vt:lpstr>
      <vt:lpstr>Frequency5</vt:lpstr>
      <vt:lpstr>Frequency6</vt:lpstr>
      <vt:lpstr>Frequency7</vt:lpstr>
      <vt:lpstr>FX</vt:lpstr>
      <vt:lpstr>FX_2</vt:lpstr>
      <vt:lpstr>Germany_Region</vt:lpstr>
      <vt:lpstr>Greece_Region</vt:lpstr>
      <vt:lpstr>Green_bond</vt:lpstr>
      <vt:lpstr>IR_Type</vt:lpstr>
      <vt:lpstr>Italy_Region</vt:lpstr>
      <vt:lpstr>Lists_GOS</vt:lpstr>
      <vt:lpstr>Lists_Sector</vt:lpstr>
      <vt:lpstr>MaturityType</vt:lpstr>
      <vt:lpstr>Moodys_Scale</vt:lpstr>
      <vt:lpstr>Netherlands_Region</vt:lpstr>
      <vt:lpstr>Nominal_NPV</vt:lpstr>
      <vt:lpstr>Performing</vt:lpstr>
      <vt:lpstr>Performing2</vt:lpstr>
      <vt:lpstr>Portugal_Region</vt:lpstr>
      <vt:lpstr>Prepayment</vt:lpstr>
      <vt:lpstr>Principal_repayment_Patern</vt:lpstr>
      <vt:lpstr>Principal_repayment_Pattern</vt:lpstr>
      <vt:lpstr>PrincipalRepaymentSUbsAssets</vt:lpstr>
      <vt:lpstr>Lists!Print_Area</vt:lpstr>
      <vt:lpstr>PropertyValueLTV</vt:lpstr>
      <vt:lpstr>PublicSectorOptions</vt:lpstr>
      <vt:lpstr>SouthAfrica_Region</vt:lpstr>
      <vt:lpstr>Spain_Region</vt:lpstr>
      <vt:lpstr>Static_Dynamic</vt:lpstr>
      <vt:lpstr>Stichtag</vt:lpstr>
      <vt:lpstr>SubstituteCollateral_Type</vt:lpstr>
      <vt:lpstr>Swap_Profile</vt:lpstr>
      <vt:lpstr>SwapsCollateralPosting</vt:lpstr>
      <vt:lpstr>Sweden_Region</vt:lpstr>
      <vt:lpstr>Switzerland_Region</vt:lpstr>
      <vt:lpstr>Tenant_Weighting</vt:lpstr>
      <vt:lpstr>Timeframe_DSCR</vt:lpstr>
      <vt:lpstr>UK_Region</vt:lpstr>
      <vt:lpstr>Value_Type</vt:lpstr>
      <vt:lpstr>Value_Type2</vt:lpstr>
      <vt:lpstr>Versions</vt:lpstr>
    </vt:vector>
  </TitlesOfParts>
  <Manager/>
  <Company>Moody's Investors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Moody's Investors Service</dc:creator>
  <cp:keywords/>
  <dc:description/>
  <cp:lastModifiedBy>Kiss, Matthias</cp:lastModifiedBy>
  <cp:revision/>
  <dcterms:created xsi:type="dcterms:W3CDTF">2005-03-29T19:18:55Z</dcterms:created>
  <dcterms:modified xsi:type="dcterms:W3CDTF">2025-04-24T14:36:32Z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0x01010065D991CD2ADE68439A7A8C1907CD2860</vt:lpwstr>
  </property>
  <property fmtid="{D5CDD505-2E9C-101B-9397-08002B2CF9AE}" pid="3" name="MSIP_Label_b0e4137d-3c3f-4cec-9f07-da88235b25cd_Enabled">
    <vt:lpwstr>true</vt:lpwstr>
  </property>
  <property fmtid="{D5CDD505-2E9C-101B-9397-08002B2CF9AE}" pid="4" name="MSIP_Label_b0e4137d-3c3f-4cec-9f07-da88235b25cd_SetDate">
    <vt:lpwstr>2021-02-03T13:25:34Z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b058d590-3281-449d-bf5d-325da730cbf0</vt:lpwstr>
  </property>
  <property fmtid="{D5CDD505-2E9C-101B-9397-08002B2CF9AE}" pid="9" name="MSIP_Label_b0e4137d-3c3f-4cec-9f07-da88235b25cd_ContentBits">
    <vt:lpwstr>0</vt:lpwstr>
  </property>
  <property fmtid="{D5CDD505-2E9C-101B-9397-08002B2CF9AE}" pid="10" name="{A44787D4-0540-4523-9961-78E4036D8C6D}">
    <vt:lpwstr>{01577545-95BD-402A-8FC8-4D31C10B2279}</vt:lpwstr>
  </property>
</Properties>
</file>