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defaultThemeVersion="124226"/>
  <mc:AlternateContent xmlns:mc="http://schemas.openxmlformats.org/markup-compatibility/2006">
    <mc:Choice Requires="x15">
      <x15ac:absPath xmlns:x15ac="http://schemas.microsoft.com/office/spreadsheetml/2010/11/ac" url="L:\Collateral_Management\Deckungsstock\CMT - Collateral Management Tool\Reports\HTT\Public Sector\2024\"/>
    </mc:Choice>
  </mc:AlternateContent>
  <xr:revisionPtr revIDLastSave="0" documentId="13_ncr:1_{103BD4AA-4AE1-494E-B294-3149BA63A903}" xr6:coauthVersionLast="47" xr6:coauthVersionMax="47" xr10:uidLastSave="{00000000-0000-0000-0000-000000000000}"/>
  <bookViews>
    <workbookView xWindow="-38520" yWindow="-120" windowWidth="38640" windowHeight="21240" tabRatio="717" firstSheet="1" activeTab="1" xr2:uid="{00000000-000D-0000-FFFF-FFFF00000000}"/>
  </bookViews>
  <sheets>
    <sheet name="Sheet1" sheetId="1" state="veryHidden" r:id="rId1"/>
    <sheet name="A. General PublicSector" sheetId="34" r:id="rId2"/>
    <sheet name="B2. Public Sector Assets" sheetId="36" r:id="rId3"/>
    <sheet name="C. ISIN List" sheetId="37" r:id="rId4"/>
    <sheet name="Lists" sheetId="17" state="veryHidden" r:id="rId5"/>
    <sheet name="Language" sheetId="18" state="veryHidden" r:id="rId6"/>
  </sheets>
  <externalReferences>
    <externalReference r:id="rId7"/>
    <externalReference r:id="rId8"/>
  </externalReferences>
  <definedNames>
    <definedName name="_xlnm._FilterDatabase" localSheetId="4" hidden="1">Lists!$G$192:$H$192</definedName>
    <definedName name="ActiveStage">#REF!</definedName>
    <definedName name="AmortisingTypes">Lists!$E$56:$E$58</definedName>
    <definedName name="Arrears">Lists!$E$74:$E$77</definedName>
    <definedName name="Asset_Types2">Lists!$E$32:$E$35</definedName>
    <definedName name="Assets_Backing">Lists!$G$32:$G$34</definedName>
    <definedName name="Australia_Region">Lists!$D$6:$D$13</definedName>
    <definedName name="BasisRates">Lists!$E$45:$E$54</definedName>
    <definedName name="Belgium_Region">Lists!$F$6:$F$9</definedName>
    <definedName name="ColorCalc">#REF!</definedName>
    <definedName name="ColorFix">#REF!</definedName>
    <definedName name="ColorManual">#REF!</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Lists!$A$123:$A$139</definedName>
    <definedName name="CommercialCollateralTypes">Lists!$A$55:$A$66</definedName>
    <definedName name="ComS_Alt1">#REF!</definedName>
    <definedName name="ComS_Alt2">#REF!</definedName>
    <definedName name="ComS_Alt3">#REF!</definedName>
    <definedName name="CountriesEEA">Lists!$A$193:$A$248</definedName>
    <definedName name="CountryList">Lists!$E$194:$E$228</definedName>
    <definedName name="CutOffDate">#REF!</definedName>
    <definedName name="Czech_Republic_Region">Lists!$AA$6:$AA$20</definedName>
    <definedName name="Debtor_Type">Lists!$E$81:$E$85</definedName>
    <definedName name="_xlnm.Print_Area" localSheetId="4">Lists!$D$5:$Z$29</definedName>
    <definedName name="Eligible_Ineligible">Lists!$I$51:$I$52</definedName>
    <definedName name="ExportFinanceType">Lists!$K$74:$K$82</definedName>
    <definedName name="Fixed_Floating">Lists!$F$56:$F$58</definedName>
    <definedName name="France_Region">Lists!$I$6:$I$34</definedName>
    <definedName name="Frequency">Lists!$E$41:$E$42</definedName>
    <definedName name="Frequency2">Lists!$E$60:$E$63</definedName>
    <definedName name="Frequency3">Lists!$E$60:$E$64</definedName>
    <definedName name="Frequency4">Lists!$F$60:$F$64</definedName>
    <definedName name="Frequency5">Lists!$E$60:$E$63,Lists!$E$65</definedName>
    <definedName name="Frequency6">Lists!$G$67:$G$71</definedName>
    <definedName name="Frequency7">Lists!$E$60:$E$65</definedName>
    <definedName name="FX">Lists!$B$5:$B$27</definedName>
    <definedName name="FX_2">Lists!$B$5:$B$27</definedName>
    <definedName name="Germany_Region">Lists!$J$6:$J$22</definedName>
    <definedName name="Greece_Region">Lists!$K$6:$K$16</definedName>
    <definedName name="Green_bond">Lists!$F$69:$F$72</definedName>
    <definedName name="htt_com_top_10">[1]Pilot!$C$7</definedName>
    <definedName name="htt_covered_bond.mat_1">[1]Data_definitions!$F$19</definedName>
    <definedName name="htt_covered_bond.mat_10">[1]Data_definitions!$F$24</definedName>
    <definedName name="htt_covered_bond.mat_2">[1]Data_definitions!$F$20</definedName>
    <definedName name="htt_covered_bond.mat_3">[1]Data_definitions!$F$21</definedName>
    <definedName name="htt_covered_bond.mat_4">[1]Data_definitions!$F$22</definedName>
    <definedName name="htt_covered_bond.mat_5">[1]Data_definitions!$F$23</definedName>
    <definedName name="htt_covered_bond.mat_over10">[1]Data_definitions!$F$25</definedName>
    <definedName name="htt_covered_bond.reporting_date">[1]Data_definitions!$F$5</definedName>
    <definedName name="htt_covered_bond.summe_nom_eur">[1]Data_definitions!$F$6</definedName>
    <definedName name="htt_mortgage_loan.asset_currency_CHF">[1]Data_definitions!$F$26</definedName>
    <definedName name="htt_mortgage_loan.asset_currency_EUR">[1]Data_definitions!$F$27</definedName>
    <definedName name="htt_mortgage_loan.count_Account">[1]Data_definitions!$F$46</definedName>
    <definedName name="htt_mortgage_loan.country_NL">[1]Data_definitions!$F$147</definedName>
    <definedName name="htt_mortgage_loan.ds_J_M">[1]Data_definitions!$F$7</definedName>
    <definedName name="htt_mortgage_loan.ds_J_P">[1]Data_definitions!$F$8</definedName>
    <definedName name="htt_mortgage_loan.eligible_00_YES">[1]Data_definitions!$F$29</definedName>
    <definedName name="htt_mortgage_loan.interest_rate_BLANK">[1]Data_definitions!$F$64</definedName>
    <definedName name="htt_mortgage_loan.interest_rate_FIX">[1]Data_definitions!$F$65</definedName>
    <definedName name="htt_mortgage_loan.interest_rate_VAR">[1]Data_definitions!$F$66</definedName>
    <definedName name="htt_mortgage_loan.ltv_bucket1">[1]Data_definitions!$F$87</definedName>
    <definedName name="htt_mortgage_loan.ltv_bucket2">[1]Data_definitions!$F$88</definedName>
    <definedName name="htt_mortgage_loan.ltv_bucket3">[1]Data_definitions!$F$89</definedName>
    <definedName name="htt_mortgage_loan.ltv_bucket4">[1]Data_definitions!$F$90</definedName>
    <definedName name="htt_mortgage_loan.ltv_bucket5">[1]Data_definitions!$F$91</definedName>
    <definedName name="htt_mortgage_loan.ltv_bucket6">[1]Data_definitions!$F$92</definedName>
    <definedName name="htt_mortgage_loan.ltv_bucket7">[1]Data_definitions!$F$93</definedName>
    <definedName name="htt_mortgage_loan.ltv_bucket8">[1]Data_definitions!$F$94</definedName>
    <definedName name="htt_mortgage_loan.ltv_gewichtet">[1]Data_definitions!$F$129</definedName>
    <definedName name="htt_mortgage_loan.occ_2ndhome">[1]Data_definitions!$F$80</definedName>
    <definedName name="htt_mortgage_loan.occ_Agricult">[1]Data_definitions!$F$76</definedName>
    <definedName name="htt_mortgage_loan.occ_Buy_to_let">[1]Data_definitions!$F$77</definedName>
    <definedName name="htt_mortgage_loan.occ_Owner">[1]Data_definitions!$F$79</definedName>
    <definedName name="htt_mortgage_loan.region_Burgenland">[1]Data_definitions!$F$55</definedName>
    <definedName name="htt_mortgage_loan.region_Kärnten">[1]Data_definitions!$F$56</definedName>
    <definedName name="htt_mortgage_loan.region_NÖ">[1]Data_definitions!$F$57</definedName>
    <definedName name="htt_mortgage_loan.region_OÖ">[1]Data_definitions!$F$58</definedName>
    <definedName name="htt_mortgage_loan.region_Salzburg">[1]Data_definitions!$F$59</definedName>
    <definedName name="htt_mortgage_loan.region_Steiermark">[1]Data_definitions!$F$60</definedName>
    <definedName name="htt_mortgage_loan.region_Tirol">[1]Data_definitions!$F$61</definedName>
    <definedName name="htt_mortgage_loan.region_Vorarlberg">[1]Data_definitions!$F$62</definedName>
    <definedName name="htt_mortgage_loan.region_Wien">[1]Data_definitions!$F$63</definedName>
    <definedName name="htt_mortgage_loan.repayment_amort">[1]Data_definitions!$F$68</definedName>
    <definedName name="htt_mortgage_loan.repayment_BLANK">[1]Data_definitions!$F$67</definedName>
    <definedName name="htt_mortgage_loan.repayment_bullet">[1]Data_definitions!$F$69</definedName>
    <definedName name="htt_mortgage_loan.reporting_date">[1]Data_definitions!$F$3</definedName>
    <definedName name="htt_mortgage_loan.res_1">[1]Data_definitions!$F$12</definedName>
    <definedName name="htt_mortgage_loan.res_10">[1]Data_definitions!$F$17</definedName>
    <definedName name="htt_mortgage_loan.res_2">[1]Data_definitions!$F$13</definedName>
    <definedName name="htt_mortgage_loan.res_3">[1]Data_definitions!$F$14</definedName>
    <definedName name="htt_mortgage_loan.res_4">[1]Data_definitions!$F$15</definedName>
    <definedName name="htt_mortgage_loan.res_5">[1]Data_definitions!$F$16</definedName>
    <definedName name="htt_mortgage_loan.res_over10">[1]Data_definitions!$F$18</definedName>
    <definedName name="htt_mortgage_loan.seasoning_1">[1]Data_definitions!$F$70</definedName>
    <definedName name="htt_mortgage_loan.seasoning_2">[1]Data_definitions!$F$71</definedName>
    <definedName name="htt_mortgage_loan.seasoning_3">[1]Data_definitions!$F$72</definedName>
    <definedName name="htt_mortgage_loan.seasoning_5">[1]Data_definitions!$F$73</definedName>
    <definedName name="htt_mortgage_loan.seasoning_over5">[1]Data_definitions!$F$74</definedName>
    <definedName name="htt_mortgage_loan.sector_COM">[1]Data_definitions!$F$42</definedName>
    <definedName name="htt_mortgage_loan.segment_2_COM">[1]Data_definitions!$F$127</definedName>
    <definedName name="htt_mortgage_loan.segment_2_RES">[1]Data_definitions!$F$128</definedName>
    <definedName name="htt_mortgage_loan.slice_bucket1">[1]Data_definitions!$F$81</definedName>
    <definedName name="htt_mortgage_loan.slice_bucket2">[1]Data_definitions!$F$82</definedName>
    <definedName name="htt_mortgage_loan.slice_bucket3">[1]Data_definitions!$F$83</definedName>
    <definedName name="htt_mortgage_loan.slice_bucket4">[1]Data_definitions!$F$84</definedName>
    <definedName name="htt_mortgage_loan.slice_bucket5">[1]Data_definitions!$F$85</definedName>
    <definedName name="htt_mortgage_loan.slice_bucket6">[1]Data_definitions!$F$86</definedName>
    <definedName name="htt_mortgage_loan.summe_nom_eur">[1]Data_definitions!$F$6</definedName>
    <definedName name="htt_mortgage_loan.summe_slice">[1]Data_definitions!$F$4</definedName>
    <definedName name="htt_mortgage_top_10">[1]Pilot!$C$8</definedName>
    <definedName name="htt_public_loan.asset_currency_CHF">[1]Data_definitions!$F$38</definedName>
    <definedName name="htt_public_loan.asset_currency_EUR">[1]Data_definitions!$F$39</definedName>
    <definedName name="htt_public_loan.count_Account">[1]Data_definitions!$F$126</definedName>
    <definedName name="htt_public_loan.debtor_BUN">[1]Data_definitions!$F$105</definedName>
    <definedName name="htt_public_loan.debtor_GEM">[1]Data_definitions!$F$107</definedName>
    <definedName name="htt_public_loan.debtor_LAN">[1]Data_definitions!$F$108</definedName>
    <definedName name="htt_public_loan.eligible_00_YES">[1]Data_definitions!$F$41</definedName>
    <definedName name="htt_public_loan.interest_blank">[1]Data_definitions!$F$113</definedName>
    <definedName name="htt_public_loan.interest_FIX">[1]Data_definitions!$F$114</definedName>
    <definedName name="htt_public_loan.interest_VAR">[1]Data_definitions!$F$115</definedName>
    <definedName name="htt_public_loan.repayment_amort">[1]Data_definitions!$F$111</definedName>
    <definedName name="htt_public_loan.repayment_bullet">[1]Data_definitions!$F$112</definedName>
    <definedName name="htt_public_loan.reporting_date">[1]Data_definitions!$F$9</definedName>
    <definedName name="htt_public_loan.res_1">[1]Data_definitions!$F$31</definedName>
    <definedName name="htt_public_loan.res_10">[1]Data_definitions!$F$36</definedName>
    <definedName name="htt_public_loan.res_2">[1]Data_definitions!$F$32</definedName>
    <definedName name="htt_public_loan.res_3">[1]Data_definitions!$F$33</definedName>
    <definedName name="htt_public_loan.res_4">[1]Data_definitions!$F$34</definedName>
    <definedName name="htt_public_loan.res_5">[1]Data_definitions!$F$35</definedName>
    <definedName name="htt_public_loan.res_over10">[1]Data_definitions!$F$37</definedName>
    <definedName name="htt_public_loan.slice_bucket1">[1]Data_definitions!$F$95</definedName>
    <definedName name="htt_public_loan.slice_bucket2">[1]Data_definitions!$F$96</definedName>
    <definedName name="htt_public_loan.slice_bucket3">[1]Data_definitions!$F$97</definedName>
    <definedName name="htt_public_loan.slice_bucket4">[1]Data_definitions!$F$98</definedName>
    <definedName name="htt_public_loan.slice_bucket5">[1]Data_definitions!$F$99</definedName>
    <definedName name="htt_public_loan.slice_bucket6">[1]Data_definitions!$F$100</definedName>
    <definedName name="htt_public_loan.summe_slice">[1]Data_definitions!$F$10</definedName>
    <definedName name="htt_res_top_10">[1]Pilot!$C$6</definedName>
    <definedName name="IR_Type">Lists!$G$38:$G$43</definedName>
    <definedName name="Italy_Region">Lists!$N$6:$N$27</definedName>
    <definedName name="Lists_GOS">Lists!$C$162:$C$164</definedName>
    <definedName name="Lists_Sector">Lists!$A$162:$A$177</definedName>
    <definedName name="MaturityType">Lists!$G$76:$G$79</definedName>
    <definedName name="Moodys_Scale">Lists!$A$99:$A$117</definedName>
    <definedName name="Netherlands_Region">Lists!$P$6:$P$18</definedName>
    <definedName name="Nominal_NPV">Lists!$I$48:$I$49</definedName>
    <definedName name="Overview_Residential">#REF!</definedName>
    <definedName name="PbP_AmT_ER">#REF!</definedName>
    <definedName name="PbP_AmTypePR">#REF!</definedName>
    <definedName name="PbP_BorrowerGroupID">#REF!</definedName>
    <definedName name="PbP_BorrowerID">#REF!</definedName>
    <definedName name="PbP_CC">#REF!</definedName>
    <definedName name="PbP_CGrossRent">#REF!</definedName>
    <definedName name="PbP_CNetRent">#REF!</definedName>
    <definedName name="PbP_COccupancy">#REF!</definedName>
    <definedName name="PbP_ERdefault">#REF!</definedName>
    <definedName name="PbP_HotelsOwnOcc">#REF!</definedName>
    <definedName name="PbP_IR_ER">#REF!</definedName>
    <definedName name="PbP_IRD_ER">#REF!</definedName>
    <definedName name="PbP_IRDPR">#REF!</definedName>
    <definedName name="PbP_IRPR">#REF!</definedName>
    <definedName name="PbP_IRT_ER">#REF!</definedName>
    <definedName name="PbP_IRTPR">#REF!</definedName>
    <definedName name="PbP_JRs">#REF!</definedName>
    <definedName name="PbP_LargestTenant">#REF!</definedName>
    <definedName name="PbP_LargestTenant_FitchRating">#REF!</definedName>
    <definedName name="PbP_LargestTenant_MoodysRating">#REF!</definedName>
    <definedName name="PbP_LargestTenant_SPRating">#REF!</definedName>
    <definedName name="PbP_LargestTenantMethod">#REF!</definedName>
    <definedName name="PbP_LargestTenantPercent">#REF!</definedName>
    <definedName name="PbP_LB1">#REF!</definedName>
    <definedName name="PbP_LB2">#REF!</definedName>
    <definedName name="PbP_LeaseType">#REF!</definedName>
    <definedName name="PbP_LeaseTypeAll">#REF!</definedName>
    <definedName name="PbP_LendingValue">#REF!</definedName>
    <definedName name="PbP_LoanID">#REF!</definedName>
    <definedName name="PbP_Mat_ER">#REF!</definedName>
    <definedName name="PbP_MatPR">#REF!</definedName>
    <definedName name="PbP_NumberOfFlats">#REF!</definedName>
    <definedName name="PbP_NumberOfTenants">#REF!</definedName>
    <definedName name="PbP_OriginatorID">#REF!</definedName>
    <definedName name="PbP_PRdefault">#REF!</definedName>
    <definedName name="PbP_PropertyCountry">#REF!</definedName>
    <definedName name="PbP_PropertyID">#REF!</definedName>
    <definedName name="PbP_PropertyRegion">#REF!</definedName>
    <definedName name="PbP_PropertyType">#REF!</definedName>
    <definedName name="PbP_PropLocation_Score">#REF!</definedName>
    <definedName name="PbP_PropName">#REF!</definedName>
    <definedName name="PbP_PropQuality_Score">#REF!</definedName>
    <definedName name="PbP_PropQualityANDPropLocation_Score">#REF!</definedName>
    <definedName name="PbP_PropTown">#REF!</definedName>
    <definedName name="PbP_PropZIP">#REF!</definedName>
    <definedName name="PbP_PRs">#REF!</definedName>
    <definedName name="PbP_Ranking">#REF!</definedName>
    <definedName name="PbP_ServicerID">#REF!</definedName>
    <definedName name="PbP_TbTAvail">#REF!</definedName>
    <definedName name="PbP_TenancyLength">#REF!</definedName>
    <definedName name="PbP_TenantRating_Score">#REF!</definedName>
    <definedName name="PbP_TenantRatingLargest_Score">#REF!</definedName>
    <definedName name="PbP_TenLengthMethod">#REF!</definedName>
    <definedName name="PbP_UpdatedValuation">#REF!</definedName>
    <definedName name="PbP_Valuation1">#REF!</definedName>
    <definedName name="PbP_Valuation2">#REF!</definedName>
    <definedName name="PbP_ValuationDate">#REF!</definedName>
    <definedName name="PbP_VPV">#REF!</definedName>
    <definedName name="PbP_VPVDate">#REF!</definedName>
    <definedName name="PbP_WARatingTenants">#REF!</definedName>
    <definedName name="PbP_WARemTen">#REF!</definedName>
    <definedName name="PbP_Ybuild">#REF!</definedName>
    <definedName name="PbP_Yrenovated">#REF!</definedName>
    <definedName name="Performing">Lists!$E$70:$E$73</definedName>
    <definedName name="Performing2">Lists!$E$70:$E$78</definedName>
    <definedName name="Portugal_Region">Lists!$S$6:$S$12</definedName>
    <definedName name="Prepayment">Lists!$I$45:$I$46</definedName>
    <definedName name="Principal_repayment_Patern">Lists!$I$56:$I$63</definedName>
    <definedName name="Principal_repayment_Pattern">Lists!$I$56:$I$62</definedName>
    <definedName name="PrincipalRepaymentSUbsAssets">Lists!$K$62:$K$69</definedName>
    <definedName name="PropertyValueLTV">Lists!$G$56:$G$58</definedName>
    <definedName name="PRP">#REF!</definedName>
    <definedName name="PS_Alt1">#REF!</definedName>
    <definedName name="PS_Alt2">#REF!</definedName>
    <definedName name="PS_Alt3">#REF!</definedName>
    <definedName name="PublicSectorOptions" localSheetId="0">[2]Lists!$K$35:$K$44</definedName>
    <definedName name="PublicSectorOptions">Lists!$K$35:$K$42</definedName>
    <definedName name="Restlfz_bonds">[1]Data_definitions!$F$135</definedName>
    <definedName name="Restlfz_mortgage">[1]Data_definitions!$F$134</definedName>
    <definedName name="Restlfz_public">[1]Data_definitions!$F$133</definedName>
    <definedName name="SouthAfrica_Region">Lists!$T$6:$T$15</definedName>
    <definedName name="Spain_Region">Lists!$U$6:$U$23</definedName>
    <definedName name="Static_Dynamic">Lists!$I$41:$I$42</definedName>
    <definedName name="Stichtag">'A. General PublicSector'!$C$17</definedName>
    <definedName name="SubstituteCollateral_Type">Lists!$K$48:$K$57</definedName>
    <definedName name="Swap_Profile">Lists!$A$81:$A$83</definedName>
    <definedName name="SwapsCollateralPosting">Lists!$I$71:$I$73</definedName>
    <definedName name="Sweden_Region">Lists!$V$6:$V$25</definedName>
    <definedName name="Switzerland_Region">Lists!$W$6:$W$14</definedName>
    <definedName name="Tenant_Weighting">Lists!$E$102:$E$105</definedName>
    <definedName name="Timeframe_DSCR">Lists!$A$91:$A$95</definedName>
    <definedName name="UK_Region">Lists!$X$6:$X$18</definedName>
    <definedName name="Value_Type">Lists!$A$86:$A$89</definedName>
    <definedName name="Value_Type2">Lists!$A$86:$A$87</definedName>
    <definedName name="Version">#REF!</definedName>
    <definedName name="Versions">Lists!$A$69:$A$75</definedName>
    <definedName name="workaround_segment_COM_mortgage_split">[1]Data_definitions!$F$152</definedName>
    <definedName name="workaround_segment_de_mortgage_split">[1]Data_definitions!$F$151</definedName>
    <definedName name="workaround_segment_RES_mortgage_split">[1]Data_definitions!$F$154</definedName>
    <definedName name="workaround_segment_WBG_mortgage_split">[1]Data_definitions!$F$155</definedName>
    <definedName name="Z_177A950E_F986_4F9F_BF7A_3EE97148E8BF_.wvu.PrintArea" localSheetId="4" hidden="1">Lists!$D$5:$Z$29</definedName>
    <definedName name="Z_51EFF3A7_EBAD_4444_AC2F_4C032192BE96_.wvu.FilterData" localSheetId="4" hidden="1">Lists!$G$192:$H$192</definedName>
    <definedName name="Z_51EFF3A7_EBAD_4444_AC2F_4C032192BE96_.wvu.PrintArea" localSheetId="4" hidden="1">Lists!$D$5:$Z$29</definedName>
  </definedNames>
  <calcPr calcId="191028"/>
  <customWorkbookViews>
    <customWorkbookView name="Moody's Investors Service - Personal View" guid="{177A950E-F986-4F9F-BF7A-3EE97148E8BF}" mergeInterval="0" personalView="1" maximized="1" windowWidth="1276" windowHeight="835" tabRatio="944" activeSheetId="1"/>
    <customWorkbookView name="Hogan, John - Personal View" guid="{51EFF3A7-EBAD-4444-AC2F-4C032192BE96}" mergeInterval="0" personalView="1" maximized="1" xWindow="-8" yWindow="-8" windowWidth="1936" windowHeight="1056" tabRatio="842"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8" i="17" l="1"/>
  <c r="H83" i="17"/>
  <c r="H82" i="17"/>
  <c r="K82" i="17"/>
  <c r="K81" i="17"/>
  <c r="K80" i="17"/>
  <c r="K79" i="17"/>
  <c r="K78" i="17"/>
  <c r="K77" i="17"/>
  <c r="K76" i="17"/>
  <c r="K75" i="17"/>
  <c r="K74" i="17"/>
  <c r="D5" i="17"/>
  <c r="D14" i="17" s="1"/>
  <c r="D135" i="17" s="1"/>
  <c r="E5" i="17"/>
  <c r="E15" i="17" s="1"/>
  <c r="F5" i="17"/>
  <c r="G5" i="17"/>
  <c r="H5" i="17"/>
  <c r="I5" i="17"/>
  <c r="J5" i="17"/>
  <c r="J22" i="17" s="1"/>
  <c r="K5" i="17"/>
  <c r="K16" i="17" s="1"/>
  <c r="K137" i="17" s="1"/>
  <c r="L5" i="17"/>
  <c r="L26" i="17" s="1"/>
  <c r="L4" i="17" s="1"/>
  <c r="M5" i="17"/>
  <c r="M31" i="17" s="1"/>
  <c r="N5" i="17"/>
  <c r="N27" i="17" s="1"/>
  <c r="O5" i="17"/>
  <c r="O7" i="17" s="1"/>
  <c r="P5" i="17"/>
  <c r="P18" i="17" s="1"/>
  <c r="P4" i="17" s="1"/>
  <c r="Q5" i="17"/>
  <c r="Q17" i="17" s="1"/>
  <c r="Q4" i="17" s="1"/>
  <c r="R5" i="17"/>
  <c r="R22" i="17" s="1"/>
  <c r="S5" i="17"/>
  <c r="S15" i="17" s="1"/>
  <c r="T5" i="17"/>
  <c r="T25" i="17" s="1"/>
  <c r="U5" i="17"/>
  <c r="U23" i="17" s="1"/>
  <c r="V5" i="17"/>
  <c r="V16" i="17" s="1"/>
  <c r="W5" i="17"/>
  <c r="W14" i="17" s="1"/>
  <c r="X5" i="17"/>
  <c r="X18" i="17" s="1"/>
  <c r="Y5" i="17"/>
  <c r="Y21" i="17" s="1"/>
  <c r="Y4" i="17" s="1"/>
  <c r="Z5" i="17"/>
  <c r="Z6" i="17" s="1"/>
  <c r="AA5" i="17"/>
  <c r="AA20" i="17" s="1"/>
  <c r="AA141" i="17" s="1"/>
  <c r="AE5" i="17"/>
  <c r="AE14" i="17" s="1"/>
  <c r="AE4" i="17" s="1"/>
  <c r="AF5" i="17"/>
  <c r="AG5" i="17"/>
  <c r="AH5" i="17"/>
  <c r="AH27" i="17" s="1"/>
  <c r="AH4" i="17" s="1"/>
  <c r="AI5" i="17"/>
  <c r="AI28" i="17" s="1"/>
  <c r="AI4" i="17" s="1"/>
  <c r="AJ5" i="17"/>
  <c r="AJ9" i="17" s="1"/>
  <c r="AJ4" i="17" s="1"/>
  <c r="AK5" i="17"/>
  <c r="AK8" i="17" s="1"/>
  <c r="AK4" i="17" s="1"/>
  <c r="AL5" i="17"/>
  <c r="AL8" i="17" s="1"/>
  <c r="AL4" i="17" s="1"/>
  <c r="AM5" i="17"/>
  <c r="AM8" i="17" s="1"/>
  <c r="AM4" i="17" s="1"/>
  <c r="AN5" i="17"/>
  <c r="AN6" i="17" s="1"/>
  <c r="AO5" i="17"/>
  <c r="AO7" i="17" s="1"/>
  <c r="AP5" i="17"/>
  <c r="AP6" i="17" s="1"/>
  <c r="AQ5" i="17"/>
  <c r="AQ7" i="17" s="1"/>
  <c r="AR5" i="17"/>
  <c r="AR6" i="17" s="1"/>
  <c r="AS5" i="17"/>
  <c r="AS7" i="17" s="1"/>
  <c r="AT5" i="17"/>
  <c r="AT6" i="17" s="1"/>
  <c r="AU5" i="17"/>
  <c r="AU7" i="17" s="1"/>
  <c r="AV5" i="17"/>
  <c r="AV7" i="17" s="1"/>
  <c r="AW5" i="17"/>
  <c r="AX5" i="17"/>
  <c r="AX7" i="17" s="1"/>
  <c r="AY5" i="17"/>
  <c r="AY7" i="17" s="1"/>
  <c r="AZ5" i="17"/>
  <c r="AZ6" i="17" s="1"/>
  <c r="BA5" i="17"/>
  <c r="BA6" i="17" s="1"/>
  <c r="BB5" i="17"/>
  <c r="BB7" i="17" s="1"/>
  <c r="BC5" i="17"/>
  <c r="BC6" i="17" s="1"/>
  <c r="BD5" i="17"/>
  <c r="BE5" i="17"/>
  <c r="BE6" i="17" s="1"/>
  <c r="BF5" i="17"/>
  <c r="BG5" i="17"/>
  <c r="BG6" i="17" s="1"/>
  <c r="BG4" i="17" s="1"/>
  <c r="A89" i="17"/>
  <c r="E1623" i="18"/>
  <c r="E1621" i="18"/>
  <c r="E1592" i="18"/>
  <c r="E1596" i="18" s="1"/>
  <c r="E1570" i="18"/>
  <c r="E1572" i="18" s="1"/>
  <c r="E1564" i="18"/>
  <c r="E1558" i="18"/>
  <c r="E1553" i="18"/>
  <c r="E1551" i="18"/>
  <c r="E1546" i="18"/>
  <c r="E1536" i="18"/>
  <c r="E1534" i="18"/>
  <c r="E1533" i="18"/>
  <c r="E1512" i="18"/>
  <c r="E1510" i="18"/>
  <c r="E1508" i="18"/>
  <c r="E1506" i="18"/>
  <c r="E1372" i="18"/>
  <c r="E1371" i="18"/>
  <c r="E1370" i="18"/>
  <c r="E1369" i="18"/>
  <c r="E944" i="18"/>
  <c r="E943" i="18"/>
  <c r="E942" i="18"/>
  <c r="E941" i="18"/>
  <c r="E940" i="18"/>
  <c r="E939" i="18"/>
  <c r="E938" i="18"/>
  <c r="E937" i="18"/>
  <c r="E936" i="18"/>
  <c r="E935" i="18"/>
  <c r="E934" i="18"/>
  <c r="E933" i="18"/>
  <c r="E932" i="18"/>
  <c r="E931" i="18"/>
  <c r="E930" i="18"/>
  <c r="E929" i="18"/>
  <c r="E928" i="18"/>
  <c r="E927" i="18"/>
  <c r="E926" i="18"/>
  <c r="E925" i="18"/>
  <c r="E589" i="18"/>
  <c r="E579" i="18"/>
  <c r="E572" i="18"/>
  <c r="E34" i="18"/>
  <c r="Q127" i="17"/>
  <c r="A138" i="17"/>
  <c r="A139" i="17"/>
  <c r="I73" i="17"/>
  <c r="I72" i="17"/>
  <c r="I71" i="17"/>
  <c r="K69" i="17"/>
  <c r="K68" i="17"/>
  <c r="K67" i="17"/>
  <c r="K66" i="17"/>
  <c r="K65" i="17"/>
  <c r="K64" i="17"/>
  <c r="K63" i="17"/>
  <c r="K62" i="17"/>
  <c r="K57" i="17"/>
  <c r="K56" i="17"/>
  <c r="K55" i="17"/>
  <c r="K54" i="17"/>
  <c r="K53" i="17"/>
  <c r="K52" i="17"/>
  <c r="K51" i="17"/>
  <c r="K50" i="17"/>
  <c r="K49" i="17"/>
  <c r="K48" i="17"/>
  <c r="A88" i="17"/>
  <c r="G42" i="17"/>
  <c r="G57" i="17"/>
  <c r="G56" i="17"/>
  <c r="F58" i="17"/>
  <c r="D1369" i="18"/>
  <c r="F1369" i="18"/>
  <c r="D1370" i="18"/>
  <c r="F1370" i="18"/>
  <c r="D1371" i="18"/>
  <c r="G40" i="17" s="1"/>
  <c r="F1371" i="18"/>
  <c r="D1372" i="18"/>
  <c r="F1372" i="18"/>
  <c r="H4" i="17"/>
  <c r="M4" i="17"/>
  <c r="A6" i="17"/>
  <c r="A7" i="17"/>
  <c r="A8" i="17"/>
  <c r="AD8" i="17"/>
  <c r="AD4" i="17"/>
  <c r="A9" i="17"/>
  <c r="AB9" i="17"/>
  <c r="A10" i="17"/>
  <c r="A11" i="17"/>
  <c r="A12" i="17"/>
  <c r="AB12" i="17"/>
  <c r="A13" i="17"/>
  <c r="A14" i="17"/>
  <c r="A15" i="17"/>
  <c r="A16" i="17"/>
  <c r="A17" i="17"/>
  <c r="A18" i="17"/>
  <c r="A19" i="17"/>
  <c r="A20" i="17"/>
  <c r="A21" i="17"/>
  <c r="A22" i="17"/>
  <c r="A23" i="17"/>
  <c r="AC23" i="17"/>
  <c r="AC4" i="17" s="1"/>
  <c r="A24" i="17"/>
  <c r="A25" i="17"/>
  <c r="A26" i="17"/>
  <c r="A27" i="17"/>
  <c r="A28" i="17"/>
  <c r="A29" i="17"/>
  <c r="A31" i="17"/>
  <c r="E31" i="17"/>
  <c r="A32" i="17"/>
  <c r="E32" i="17"/>
  <c r="A33" i="17"/>
  <c r="E33" i="17"/>
  <c r="A34" i="17"/>
  <c r="E34" i="17"/>
  <c r="A35" i="17"/>
  <c r="E35" i="17"/>
  <c r="K35" i="17"/>
  <c r="A36" i="17"/>
  <c r="K36" i="17"/>
  <c r="A37" i="17"/>
  <c r="E37" i="17"/>
  <c r="K37" i="17"/>
  <c r="A38" i="17"/>
  <c r="E38" i="17"/>
  <c r="G38" i="17"/>
  <c r="K38" i="17"/>
  <c r="A39" i="17"/>
  <c r="E39" i="17"/>
  <c r="K39" i="17"/>
  <c r="A40" i="17"/>
  <c r="K40" i="17"/>
  <c r="A41" i="17"/>
  <c r="E41" i="17"/>
  <c r="G41" i="17"/>
  <c r="I41" i="17"/>
  <c r="K41" i="17"/>
  <c r="A42" i="17"/>
  <c r="E42" i="17"/>
  <c r="G43" i="17"/>
  <c r="I42" i="17"/>
  <c r="K42" i="17"/>
  <c r="A43" i="17"/>
  <c r="A44" i="17"/>
  <c r="A45" i="17"/>
  <c r="I45" i="17"/>
  <c r="A46" i="17"/>
  <c r="I46" i="17"/>
  <c r="A47" i="17"/>
  <c r="I48" i="17"/>
  <c r="I49" i="17"/>
  <c r="A50" i="17"/>
  <c r="I51" i="17"/>
  <c r="I52" i="17"/>
  <c r="A54" i="17"/>
  <c r="A55" i="17"/>
  <c r="A56" i="17"/>
  <c r="E56" i="17"/>
  <c r="F56" i="17"/>
  <c r="I56" i="17"/>
  <c r="A57" i="17"/>
  <c r="E57" i="17"/>
  <c r="F57" i="17"/>
  <c r="I57" i="17"/>
  <c r="A58" i="17"/>
  <c r="E58" i="17"/>
  <c r="I58" i="17"/>
  <c r="A59" i="17"/>
  <c r="I59" i="17"/>
  <c r="A60" i="17"/>
  <c r="E60" i="17"/>
  <c r="G67" i="17" s="1"/>
  <c r="F60" i="17"/>
  <c r="I60" i="17"/>
  <c r="A61" i="17"/>
  <c r="E61" i="17"/>
  <c r="G68" i="17" s="1"/>
  <c r="F61" i="17"/>
  <c r="I61" i="17"/>
  <c r="A62" i="17"/>
  <c r="E62" i="17"/>
  <c r="G69" i="17" s="1"/>
  <c r="F62" i="17"/>
  <c r="I62" i="17"/>
  <c r="A63" i="17"/>
  <c r="E63" i="17"/>
  <c r="G70" i="17" s="1"/>
  <c r="F63" i="17"/>
  <c r="I63" i="17"/>
  <c r="A64" i="17"/>
  <c r="E64" i="17"/>
  <c r="F64" i="17"/>
  <c r="A65" i="17"/>
  <c r="E65" i="17"/>
  <c r="G71" i="17" s="1"/>
  <c r="A66" i="17"/>
  <c r="A68" i="17"/>
  <c r="A69" i="17"/>
  <c r="E69" i="17"/>
  <c r="A70" i="17"/>
  <c r="E71" i="17"/>
  <c r="E72" i="17"/>
  <c r="E73" i="17"/>
  <c r="E74" i="17"/>
  <c r="E75" i="17"/>
  <c r="E76" i="17"/>
  <c r="G76" i="17"/>
  <c r="E77" i="17"/>
  <c r="G77" i="17"/>
  <c r="E78" i="17"/>
  <c r="G78" i="17"/>
  <c r="G79" i="17"/>
  <c r="A81" i="17"/>
  <c r="E81" i="17"/>
  <c r="A82" i="17"/>
  <c r="E82" i="17"/>
  <c r="A83" i="17"/>
  <c r="E83" i="17"/>
  <c r="E84" i="17"/>
  <c r="E85" i="17"/>
  <c r="A86" i="17"/>
  <c r="A87" i="17"/>
  <c r="A91" i="17"/>
  <c r="A92" i="17"/>
  <c r="A93" i="17"/>
  <c r="A94" i="17"/>
  <c r="A95" i="17"/>
  <c r="E102" i="17"/>
  <c r="E103" i="17"/>
  <c r="E104" i="17"/>
  <c r="E105" i="17"/>
  <c r="A123" i="17"/>
  <c r="A124" i="17"/>
  <c r="A125" i="17"/>
  <c r="A126" i="17"/>
  <c r="D126" i="17"/>
  <c r="E126" i="17"/>
  <c r="F126" i="17"/>
  <c r="G126" i="17"/>
  <c r="H126" i="17"/>
  <c r="I126" i="17"/>
  <c r="J126" i="17"/>
  <c r="K126" i="17"/>
  <c r="L126" i="17"/>
  <c r="M126" i="17"/>
  <c r="N126" i="17"/>
  <c r="O126" i="17"/>
  <c r="P126" i="17"/>
  <c r="Q126" i="17"/>
  <c r="R126" i="17"/>
  <c r="S126" i="17"/>
  <c r="T126" i="17"/>
  <c r="U126" i="17"/>
  <c r="V126" i="17"/>
  <c r="W126" i="17"/>
  <c r="X126" i="17"/>
  <c r="Y126" i="17"/>
  <c r="Z126" i="17"/>
  <c r="AA126" i="17"/>
  <c r="AB126" i="17"/>
  <c r="AC126" i="17"/>
  <c r="AD126" i="17"/>
  <c r="AE126" i="17"/>
  <c r="AF126" i="17"/>
  <c r="AG126" i="17"/>
  <c r="AH126" i="17"/>
  <c r="AI126" i="17"/>
  <c r="AJ126" i="17"/>
  <c r="AK126" i="17"/>
  <c r="AL126" i="17"/>
  <c r="A127" i="17"/>
  <c r="D127" i="17"/>
  <c r="E127" i="17"/>
  <c r="F127" i="17"/>
  <c r="G127" i="17"/>
  <c r="I127" i="17"/>
  <c r="J127" i="17"/>
  <c r="K127" i="17"/>
  <c r="L127" i="17"/>
  <c r="N127" i="17"/>
  <c r="O127" i="17"/>
  <c r="R127" i="17"/>
  <c r="S127" i="17"/>
  <c r="T127" i="17"/>
  <c r="U127" i="17"/>
  <c r="V127" i="17"/>
  <c r="W127" i="17"/>
  <c r="X127" i="17"/>
  <c r="Y127" i="17"/>
  <c r="AA127" i="17"/>
  <c r="A128" i="17"/>
  <c r="D128" i="17"/>
  <c r="E128" i="17"/>
  <c r="F128" i="17"/>
  <c r="I128" i="17"/>
  <c r="J128" i="17"/>
  <c r="K128" i="17"/>
  <c r="L128" i="17"/>
  <c r="N128" i="17"/>
  <c r="Q128" i="17"/>
  <c r="R128" i="17"/>
  <c r="S128" i="17"/>
  <c r="T128" i="17"/>
  <c r="U128" i="17"/>
  <c r="V128" i="17"/>
  <c r="W128" i="17"/>
  <c r="X128" i="17"/>
  <c r="Y128" i="17"/>
  <c r="AA128" i="17"/>
  <c r="A129" i="17"/>
  <c r="D129" i="17"/>
  <c r="E129" i="17"/>
  <c r="F129" i="17"/>
  <c r="I129" i="17"/>
  <c r="J129" i="17"/>
  <c r="K129" i="17"/>
  <c r="L129" i="17"/>
  <c r="N129" i="17"/>
  <c r="Q129" i="17"/>
  <c r="R129" i="17"/>
  <c r="S129" i="17"/>
  <c r="T129" i="17"/>
  <c r="U129" i="17"/>
  <c r="V129" i="17"/>
  <c r="W129" i="17"/>
  <c r="X129" i="17"/>
  <c r="Y129" i="17"/>
  <c r="AA129" i="17"/>
  <c r="AD129" i="17"/>
  <c r="A130" i="17"/>
  <c r="D130" i="17"/>
  <c r="E130" i="17"/>
  <c r="I130" i="17"/>
  <c r="J130" i="17"/>
  <c r="K130" i="17"/>
  <c r="L130" i="17"/>
  <c r="N130" i="17"/>
  <c r="Q130" i="17"/>
  <c r="R130" i="17"/>
  <c r="S130" i="17"/>
  <c r="T130" i="17"/>
  <c r="U130" i="17"/>
  <c r="V130" i="17"/>
  <c r="W130" i="17"/>
  <c r="X130" i="17"/>
  <c r="Y130" i="17"/>
  <c r="AA130" i="17"/>
  <c r="AB130" i="17"/>
  <c r="A131" i="17"/>
  <c r="D131" i="17"/>
  <c r="E131" i="17"/>
  <c r="I131" i="17"/>
  <c r="J131" i="17"/>
  <c r="K131" i="17"/>
  <c r="L131" i="17"/>
  <c r="N131" i="17"/>
  <c r="Q131" i="17"/>
  <c r="R131" i="17"/>
  <c r="S131" i="17"/>
  <c r="T131" i="17"/>
  <c r="U131" i="17"/>
  <c r="V131" i="17"/>
  <c r="W131" i="17"/>
  <c r="X131" i="17"/>
  <c r="Y131" i="17"/>
  <c r="AA131" i="17"/>
  <c r="A132" i="17"/>
  <c r="D132" i="17"/>
  <c r="E132" i="17"/>
  <c r="I132" i="17"/>
  <c r="J132" i="17"/>
  <c r="K132" i="17"/>
  <c r="L132" i="17"/>
  <c r="N132" i="17"/>
  <c r="Q132" i="17"/>
  <c r="R132" i="17"/>
  <c r="S132" i="17"/>
  <c r="T132" i="17"/>
  <c r="U132" i="17"/>
  <c r="V132" i="17"/>
  <c r="W132" i="17"/>
  <c r="X132" i="17"/>
  <c r="Y132" i="17"/>
  <c r="AA132" i="17"/>
  <c r="A133" i="17"/>
  <c r="D133" i="17"/>
  <c r="E133" i="17"/>
  <c r="I133" i="17"/>
  <c r="J133" i="17"/>
  <c r="K133" i="17"/>
  <c r="L133" i="17"/>
  <c r="N133" i="17"/>
  <c r="Q133" i="17"/>
  <c r="R133" i="17"/>
  <c r="S133" i="17"/>
  <c r="T133" i="17"/>
  <c r="U133" i="17"/>
  <c r="V133" i="17"/>
  <c r="W133" i="17"/>
  <c r="X133" i="17"/>
  <c r="Y133" i="17"/>
  <c r="AA133" i="17"/>
  <c r="A134" i="17"/>
  <c r="D134" i="17"/>
  <c r="E134" i="17"/>
  <c r="I134" i="17"/>
  <c r="J134" i="17"/>
  <c r="K134" i="17"/>
  <c r="L134" i="17"/>
  <c r="N134" i="17"/>
  <c r="Q134" i="17"/>
  <c r="R134" i="17"/>
  <c r="S134" i="17"/>
  <c r="T134" i="17"/>
  <c r="U134" i="17"/>
  <c r="V134" i="17"/>
  <c r="W134" i="17"/>
  <c r="X134" i="17"/>
  <c r="Y134" i="17"/>
  <c r="AA134" i="17"/>
  <c r="A135" i="17"/>
  <c r="E135" i="17"/>
  <c r="I135" i="17"/>
  <c r="J135" i="17"/>
  <c r="K135" i="17"/>
  <c r="L135" i="17"/>
  <c r="N135" i="17"/>
  <c r="Q135" i="17"/>
  <c r="R135" i="17"/>
  <c r="S135" i="17"/>
  <c r="T135" i="17"/>
  <c r="U135" i="17"/>
  <c r="V135" i="17"/>
  <c r="X135" i="17"/>
  <c r="Y135" i="17"/>
  <c r="AA135" i="17"/>
  <c r="A136" i="17"/>
  <c r="I136" i="17"/>
  <c r="J136" i="17"/>
  <c r="K136" i="17"/>
  <c r="L136" i="17"/>
  <c r="N136" i="17"/>
  <c r="Q136" i="17"/>
  <c r="R136" i="17"/>
  <c r="T136" i="17"/>
  <c r="U136" i="17"/>
  <c r="V136" i="17"/>
  <c r="X136" i="17"/>
  <c r="Y136" i="17"/>
  <c r="AA136" i="17"/>
  <c r="A137" i="17"/>
  <c r="I137" i="17"/>
  <c r="J137" i="17"/>
  <c r="L137" i="17"/>
  <c r="N137" i="17"/>
  <c r="Q137" i="17"/>
  <c r="R137" i="17"/>
  <c r="T137" i="17"/>
  <c r="U137" i="17"/>
  <c r="X137" i="17"/>
  <c r="Y137" i="17"/>
  <c r="AA137" i="17"/>
  <c r="I138" i="17"/>
  <c r="J138" i="17"/>
  <c r="L138" i="17"/>
  <c r="N138" i="17"/>
  <c r="R138" i="17"/>
  <c r="T138" i="17"/>
  <c r="U138" i="17"/>
  <c r="X138" i="17"/>
  <c r="Y138" i="17"/>
  <c r="AA138" i="17"/>
  <c r="I139" i="17"/>
  <c r="J139" i="17"/>
  <c r="L139" i="17"/>
  <c r="N139" i="17"/>
  <c r="R139" i="17"/>
  <c r="T139" i="17"/>
  <c r="U139" i="17"/>
  <c r="Y139" i="17"/>
  <c r="AA139" i="17"/>
  <c r="I140" i="17"/>
  <c r="J140" i="17"/>
  <c r="L140" i="17"/>
  <c r="N140" i="17"/>
  <c r="R140" i="17"/>
  <c r="T140" i="17"/>
  <c r="U140" i="17"/>
  <c r="Y140" i="17"/>
  <c r="AA140" i="17"/>
  <c r="I141" i="17"/>
  <c r="J141" i="17"/>
  <c r="L141" i="17"/>
  <c r="N141" i="17"/>
  <c r="R141" i="17"/>
  <c r="T141" i="17"/>
  <c r="U141" i="17"/>
  <c r="Y141" i="17"/>
  <c r="J142" i="17"/>
  <c r="L142" i="17"/>
  <c r="N142" i="17"/>
  <c r="R142" i="17"/>
  <c r="T142" i="17"/>
  <c r="U142" i="17"/>
  <c r="L143" i="17"/>
  <c r="N143" i="17"/>
  <c r="T143" i="17"/>
  <c r="U143" i="17"/>
  <c r="L144" i="17"/>
  <c r="N144" i="17"/>
  <c r="T144" i="17"/>
  <c r="AC144" i="17"/>
  <c r="L145" i="17"/>
  <c r="N145" i="17"/>
  <c r="T145" i="17"/>
  <c r="L146" i="17"/>
  <c r="N146" i="17"/>
  <c r="N147" i="17"/>
  <c r="A162" i="17"/>
  <c r="C162" i="17"/>
  <c r="A163" i="17"/>
  <c r="C163" i="17"/>
  <c r="A164" i="17"/>
  <c r="C164" i="17"/>
  <c r="A165" i="17"/>
  <c r="A166" i="17"/>
  <c r="A167" i="17"/>
  <c r="A168" i="17"/>
  <c r="A169" i="17"/>
  <c r="A170" i="17"/>
  <c r="A171" i="17"/>
  <c r="A172" i="17"/>
  <c r="A173" i="17"/>
  <c r="A174" i="17"/>
  <c r="A175" i="17"/>
  <c r="A176" i="17"/>
  <c r="A177" i="17"/>
  <c r="A180" i="17"/>
  <c r="A181" i="17"/>
  <c r="A193" i="17"/>
  <c r="A194" i="17"/>
  <c r="E194" i="17"/>
  <c r="A195" i="17"/>
  <c r="E195" i="17"/>
  <c r="A196" i="17"/>
  <c r="E196" i="17"/>
  <c r="A197" i="17"/>
  <c r="E197" i="17"/>
  <c r="A198" i="17"/>
  <c r="E198" i="17"/>
  <c r="A199" i="17"/>
  <c r="E199" i="17"/>
  <c r="A200" i="17"/>
  <c r="E200" i="17"/>
  <c r="A201" i="17"/>
  <c r="E201" i="17"/>
  <c r="A202" i="17"/>
  <c r="E202" i="17"/>
  <c r="A203" i="17"/>
  <c r="E203" i="17"/>
  <c r="A204" i="17"/>
  <c r="E204" i="17"/>
  <c r="A205" i="17"/>
  <c r="E205" i="17"/>
  <c r="A206" i="17"/>
  <c r="E206" i="17"/>
  <c r="A207" i="17"/>
  <c r="E207" i="17"/>
  <c r="A208" i="17"/>
  <c r="E208" i="17"/>
  <c r="A209" i="17"/>
  <c r="E209" i="17"/>
  <c r="A210" i="17"/>
  <c r="E210" i="17"/>
  <c r="A211" i="17"/>
  <c r="E211" i="17"/>
  <c r="A212" i="17"/>
  <c r="E212" i="17"/>
  <c r="A213" i="17"/>
  <c r="E213" i="17"/>
  <c r="A214" i="17"/>
  <c r="E214" i="17"/>
  <c r="A215" i="17"/>
  <c r="E215" i="17"/>
  <c r="A216" i="17"/>
  <c r="E216" i="17"/>
  <c r="A217" i="17"/>
  <c r="E217" i="17"/>
  <c r="A218" i="17"/>
  <c r="E218" i="17"/>
  <c r="A219" i="17"/>
  <c r="E219" i="17"/>
  <c r="A220" i="17"/>
  <c r="E220" i="17"/>
  <c r="A221" i="17"/>
  <c r="E221" i="17"/>
  <c r="A222" i="17"/>
  <c r="E222" i="17"/>
  <c r="A223" i="17"/>
  <c r="E223" i="17"/>
  <c r="A224" i="17"/>
  <c r="E224" i="17"/>
  <c r="A225" i="17"/>
  <c r="E225" i="17"/>
  <c r="A226" i="17"/>
  <c r="E226" i="17"/>
  <c r="A227" i="17"/>
  <c r="E227" i="17"/>
  <c r="A228" i="17"/>
  <c r="E228" i="17"/>
  <c r="A229" i="17"/>
  <c r="A230" i="17"/>
  <c r="A231" i="17"/>
  <c r="A232" i="17"/>
  <c r="A233" i="17"/>
  <c r="A234" i="17"/>
  <c r="A235" i="17"/>
  <c r="A236" i="17"/>
  <c r="A237" i="17"/>
  <c r="A238" i="17"/>
  <c r="A239" i="17"/>
  <c r="A240" i="17"/>
  <c r="A241" i="17"/>
  <c r="A242" i="17"/>
  <c r="A243" i="17"/>
  <c r="A244" i="17"/>
  <c r="A245" i="17"/>
  <c r="A246" i="17"/>
  <c r="A247" i="17"/>
  <c r="A248" i="17"/>
  <c r="I4" i="17"/>
  <c r="AA23" i="17"/>
  <c r="AA4" i="17" s="1"/>
  <c r="AF7" i="17"/>
  <c r="AF4" i="17" s="1"/>
  <c r="AR7" i="17" l="1"/>
  <c r="K4" i="17"/>
  <c r="AP7" i="17"/>
  <c r="AS6" i="17"/>
  <c r="AV6" i="17"/>
  <c r="AV4" i="17" s="1"/>
  <c r="L147" i="17"/>
  <c r="AN7" i="17"/>
  <c r="AN4" i="17" s="1"/>
  <c r="AX6" i="17"/>
  <c r="AX4" i="17" s="1"/>
  <c r="Y142" i="17"/>
  <c r="BC7" i="17"/>
  <c r="AU6" i="17"/>
  <c r="AU4" i="17" s="1"/>
  <c r="AY6" i="17"/>
  <c r="BE7" i="17"/>
  <c r="AT7" i="17"/>
  <c r="AT4" i="17" s="1"/>
  <c r="AZ7" i="17"/>
  <c r="P139" i="17"/>
  <c r="BB6" i="17"/>
  <c r="Q138" i="17"/>
  <c r="BA7" i="17"/>
  <c r="BA4" i="17" s="1"/>
  <c r="AQ6" i="17"/>
  <c r="AQ4" i="17" s="1"/>
  <c r="D4" i="17"/>
  <c r="X139" i="17"/>
  <c r="X4" i="17"/>
  <c r="S136" i="17"/>
  <c r="S4" i="17"/>
  <c r="O4" i="17"/>
  <c r="O128" i="17"/>
  <c r="G7" i="17"/>
  <c r="G128" i="17" s="1"/>
  <c r="AY4" i="17"/>
  <c r="R143" i="17"/>
  <c r="R4" i="17"/>
  <c r="G39" i="17"/>
  <c r="Z4" i="17"/>
  <c r="Z127" i="17"/>
  <c r="F9" i="17"/>
  <c r="F130" i="17" s="1"/>
  <c r="AB4" i="17"/>
  <c r="V137" i="17"/>
  <c r="V4" i="17"/>
  <c r="T146" i="17"/>
  <c r="T4" i="17"/>
  <c r="U144" i="17"/>
  <c r="U4" i="17"/>
  <c r="J143" i="17"/>
  <c r="J4" i="17"/>
  <c r="W4" i="17"/>
  <c r="W135" i="17"/>
  <c r="N4" i="17"/>
  <c r="N148" i="17"/>
  <c r="E136" i="17"/>
  <c r="E4" i="17"/>
  <c r="AP4" i="17"/>
  <c r="BF7" i="17"/>
  <c r="BF6" i="17"/>
  <c r="BD7" i="17"/>
  <c r="BD6" i="17"/>
  <c r="BC4" i="17"/>
  <c r="AS4" i="17"/>
  <c r="AZ4" i="17"/>
  <c r="BB4" i="17"/>
  <c r="BE4" i="17"/>
  <c r="AW6" i="17"/>
  <c r="AW7" i="17"/>
  <c r="AO6" i="17"/>
  <c r="AO4" i="17" s="1"/>
  <c r="AG14" i="17"/>
  <c r="AG4" i="17" s="1"/>
  <c r="AR4" i="17"/>
  <c r="G4" i="17" l="1"/>
  <c r="BF4" i="17"/>
  <c r="F4" i="17"/>
  <c r="AW4" i="17"/>
  <c r="BD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Kefer, Hanna</author>
  </authors>
  <commentList>
    <comment ref="E1360" authorId="0" shapeId="0" xr:uid="{00000000-0006-0000-1100-000001000000}">
      <text>
        <r>
          <rPr>
            <b/>
            <sz val="9"/>
            <color indexed="81"/>
            <rFont val="Tahoma"/>
            <family val="2"/>
          </rPr>
          <t>Kefer, Hanna:</t>
        </r>
        <r>
          <rPr>
            <sz val="9"/>
            <color indexed="81"/>
            <rFont val="Tahoma"/>
            <family val="2"/>
          </rPr>
          <t xml:space="preserve">
double check
</t>
        </r>
      </text>
    </comment>
    <comment ref="E1838" authorId="0" shapeId="0" xr:uid="{00000000-0006-0000-1100-000002000000}">
      <text>
        <r>
          <rPr>
            <b/>
            <sz val="9"/>
            <color indexed="81"/>
            <rFont val="Tahoma"/>
            <family val="2"/>
          </rPr>
          <t>Kefer, Hanna:</t>
        </r>
        <r>
          <rPr>
            <sz val="9"/>
            <color indexed="81"/>
            <rFont val="Tahoma"/>
            <family val="2"/>
          </rPr>
          <t xml:space="preserve">
double check
</t>
        </r>
      </text>
    </comment>
  </commentList>
</comment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11">
    <s v="ThisWorkbookDataModel"/>
    <s v="[Measures].[Summe von SLICE]"/>
    <s v="[HTT_MORTGAGE_LOAN].[sektor_2].&amp;[RES]"/>
    <s v="[HTT_MORTGAGE_LOAN].[SEGMENT].&amp;[COM]"/>
    <s v="[Measures].[Anzahl von KONTONUMMER]"/>
    <s v="[HTT_MORTGAGE_LOAN].[sektor_2].&amp;[COM]"/>
    <s v="[HTT_MORTGAGE_LOAN].[SEGMENT].&amp;[DE]"/>
    <s v="[HTT_PUBLIC_SECTOR_LOAN].[REGION].&amp;[Burgenland]"/>
    <s v="[HTT_PUBLIC_SECTOR_LOAN].[REGION].&amp;[Salzburg]"/>
    <s v="[HTT_PUBLIC_SECTOR_LOAN].[REGION].&amp;[Steiermark]"/>
    <s v="[HTT_PUBLIC_SECTOR_LOAN].[REGION].&amp;[Tirol]"/>
    <s v="[HTT_PUBLIC_SECTOR_LOAN].[REGION].&amp;[Vorarlberg]"/>
    <s v="[HTT_PUBLIC_SECTOR_LOAN].[REGION].&amp;[Wien]"/>
    <s v="[HTT_MORTGAGE_LOAN].[SLICE_BUCKET].&amp;[&lt;100.000]"/>
    <s v="[HTT_MORTGAGE_LOAN].[SLICE_BUCKET].&amp;[&gt;=100.000-&lt;300.000]"/>
    <s v="[HTT_MORTGAGE_LOAN].[SLICE_BUCKET].&amp;[&gt;=300.000-&lt;500.000]"/>
    <s v="[HTT_MORTGAGE_LOAN].[SLICE_BUCKET].&amp;[&gt;=500.000-&lt;1.000.000]"/>
    <s v="[HTT_MORTGAGE_LOAN].[SLICE_BUCKET].&amp;[&gt;=1.000.000-&lt;5.000.000]"/>
    <s v="[HTT_MORTGAGE_LOAN].[SLICE_BUCKET].&amp;[&gt;=5.000.000]"/>
    <s v="[HTT_MORTGAGE_LOAN].[LTV_BUCKET].&amp;[&gt;0-&lt;=40%]"/>
    <s v="[HTT_MORTGAGE_LOAN].[LTV_BUCKET].&amp;[&gt;40-&lt;=50%]"/>
    <s v="[HTT_MORTGAGE_LOAN].[LTV_BUCKET].&amp;[&gt;50-&lt;=60%]"/>
    <s v="[HTT_MORTGAGE_LOAN].[LTV_BUCKET].&amp;[&gt;60-&lt;=70%]"/>
    <s v="[HTT_MORTGAGE_LOAN].[LTV_BUCKET].&amp;[&gt;70-&lt;=80%]"/>
    <s v="[HTT_MORTGAGE_LOAN].[LTV_BUCKET].&amp;[&gt;80-&lt;=90%]"/>
    <s v="[HTT_MORTGAGE_LOAN].[LTV_BUCKET].&amp;[&gt;90-&lt;=100%]"/>
    <s v="[HTT_MORTGAGE_LOAN].[LTV_BUCKET].&amp;[&gt;100%]"/>
    <s v="[Measures].[Summe von SLICE 2]"/>
    <s v="[Measures].[Summe von SLICE 6]"/>
    <s v="[HTT_RESIDENTIAL_TOP10].[DATUM].&amp;[2023-06-30T00:00:00]"/>
    <s v="[Measures].[Summe von SLICE 3]"/>
    <s v="[HTT_COMMERCIAL_TOP10].[DATUM].&amp;[2023-06-30T00:00:00]"/>
    <s v="[Measures].[Summe von SLICE 4]"/>
    <s v="[HTT_MORTGAGE_TOP10].[DATUM].&amp;[2023-06-30T00:00:00]"/>
    <s v="[HTT_MORTGAGE_LOAN].[DATUM].&amp;[2023-06-30T00:00:00]"/>
    <s v="[HTT_COVERED_BOND].[DATUM].&amp;[2023-06-30T00:00:00]"/>
    <s v="[Measures].[Summe von NOMINALE_EUR]"/>
    <s v="[HTT_COVERED_BOND].[DS_ZUORDNUNG].&amp;[J_M]"/>
    <s v="[HTT_COVERED_BOND].[DS_ZUORDNUNG].&amp;[J_P]"/>
    <s v="[HTT_MORTGAGE_LOAN].[RESIDUAL_LIFE_BUCKET].&amp;[&lt;1y]"/>
    <s v="[HTT_MORTGAGE_LOAN].[RESIDUAL_LIFE_BUCKET].&amp;[&gt;=1-&lt;2y]"/>
    <s v="[HTT_MORTGAGE_LOAN].[RESIDUAL_LIFE_BUCKET].&amp;[&gt;=2-&lt;3y]"/>
    <s v="[HTT_MORTGAGE_LOAN].[RESIDUAL_LIFE_BUCKET].&amp;[&gt;=3-&lt;4y]"/>
    <s v="[HTT_MORTGAGE_LOAN].[RESIDUAL_LIFE_BUCKET].&amp;[&gt;=4-&lt;5y]"/>
    <s v="[HTT_MORTGAGE_LOAN].[RESIDUAL_LIFE_BUCKET].&amp;[&gt;=5-&lt;10y]"/>
    <s v="[HTT_MORTGAGE_LOAN].[RESIDUAL_LIFE_BUCKET].&amp;[&gt;=10Y]"/>
    <s v="[HTT_COVERED_BOND].[MATURITY_BUCKET].&amp;[&lt;1y]"/>
    <s v="[HTT_COVERED_BOND].[MATURITY_BUCKET].&amp;[&gt;=1-&lt;2y]"/>
    <s v="[HTT_COVERED_BOND].[MATURITY_BUCKET].&amp;[&gt;=2-&lt;3y]"/>
    <s v="[HTT_COVERED_BOND].[MATURITY_BUCKET].&amp;[&gt;=3-&lt;4y]"/>
    <s v="[HTT_COVERED_BOND].[MATURITY_BUCKET].&amp;[&gt;=4-&lt;5y]"/>
    <s v="[HTT_COVERED_BOND].[MATURITY_BUCKET].&amp;[&gt;=5-&lt;10y]"/>
    <s v="[HTT_COVERED_BOND].[MATURITY_BUCKET].&amp;[&gt;=10y]"/>
    <s v="[HTT_MORTGAGE_LOAN].[CURRENCY].&amp;[CHF]"/>
    <s v="[HTT_MORTGAGE_LOAN].[CURRENCY].&amp;[EUR]"/>
    <s v="[HTT_MORTGAGE_LOAN].[ELIGIBLE_FOR_00].&amp;[Yes]"/>
    <s v="[HTT_PUBLIC_SECTOR_LOAN].[RESIDUAL_LIFE_BUCKET].&amp;[&lt;1y]"/>
    <s v="[HTT_PUBLIC_SECTOR_LOAN].[RESIDUAL_LIFE_BUCKET].&amp;[&gt;=1-&lt;2y]"/>
    <s v="[HTT_PUBLIC_SECTOR_LOAN].[RESIDUAL_LIFE_BUCKET].&amp;[&gt;=2-&lt;3y]"/>
    <s v="[HTT_PUBLIC_SECTOR_LOAN].[RESIDUAL_LIFE_BUCKET].&amp;[&gt;=3-&lt;4y]"/>
    <s v="[HTT_PUBLIC_SECTOR_LOAN].[RESIDUAL_LIFE_BUCKET].&amp;[&gt;=4-&lt;5y]"/>
    <s v="[HTT_PUBLIC_SECTOR_LOAN].[RESIDUAL_LIFE_BUCKET].&amp;[&gt;=5-&lt;10y]"/>
    <s v="[HTT_PUBLIC_SECTOR_LOAN].[RESIDUAL_LIFE_BUCKET].&amp;[&gt;=10Y]"/>
    <s v="[HTT_PUBLIC_SECTOR_LOAN].[CURRENCY].&amp;[CHF]"/>
    <s v="[HTT_PUBLIC_SECTOR_LOAN].[CURRENCY].&amp;[EUR]"/>
    <s v="[HTT_PUBLIC_SECTOR_LOAN].[ELIGIBLE_FOR_00].&amp;[Yes]"/>
    <s v="[HTT_MORTGAGE_LOAN].[REGION].&amp;[Burgenland]"/>
    <s v="[HTT_MORTGAGE_LOAN].[REGION].&amp;[Kärnten]"/>
    <s v="[HTT_MORTGAGE_LOAN].[REGION].&amp;[Niederösterreich]"/>
    <s v="[HTT_MORTGAGE_LOAN].[REGION].&amp;[Oberösterreich]"/>
    <s v="[HTT_MORTGAGE_LOAN].[REGION].&amp;[Salzburg]"/>
    <s v="[HTT_MORTGAGE_LOAN].[REGION].&amp;[Steiermark]"/>
    <s v="[HTT_MORTGAGE_LOAN].[REGION].&amp;[Tirol]"/>
    <s v="[HTT_MORTGAGE_LOAN].[REGION].&amp;[Vorarlberg]"/>
    <s v="[HTT_MORTGAGE_LOAN].[REGION].&amp;[Wien]"/>
    <s v="[HTT_MORTGAGE_LOAN].[INTEREST_RATE_TYPE].&amp;[F]"/>
    <s v="[HTT_MORTGAGE_LOAN].[INTEREST_RATE_TYPE].&amp;[V]"/>
    <s v="[HTT_MORTGAGE_LOAN].[REPAYMENT_TYPE].&amp;"/>
    <s v="[HTT_MORTGAGE_LOAN].[REPAYMENT_TYPE].&amp;[Amortising]"/>
    <s v="[HTT_MORTGAGE_LOAN].[REPAYMENT_TYPE].&amp;[Bullet]"/>
    <s v="[HTT_MORTGAGE_LOAN].[SEASONING_BUCKET].&amp;[&lt;12m]"/>
    <s v="[HTT_MORTGAGE_LOAN].[SEASONING_BUCKET].&amp;[&gt;=12-&lt;24m]"/>
    <s v="[HTT_MORTGAGE_LOAN].[SEASONING_BUCKET].&amp;[&gt;=24-&lt;36m]"/>
    <s v="[HTT_MORTGAGE_LOAN].[SEASONING_BUCKET].&amp;[&gt;=36-&lt;60m]"/>
    <s v="[HTT_MORTGAGE_LOAN].[SEASONING_BUCKET].&amp;[&gt;=60m]"/>
    <s v="[HTT_MORTGAGE_LOAN].[OCCUPANCY_TYPE].&amp;[Agricultural]"/>
    <s v="[HTT_MORTGAGE_LOAN].[OCCUPANCY_TYPE].&amp;[Buy-to-let/Non-owner occupied]"/>
    <s v="[HTT_MORTGAGE_LOAN].[OCCUPANCY_TYPE].&amp;[Owner occupied]"/>
    <s v="[HTT_MORTGAGE_LOAN].[OCCUPANCY_TYPE].&amp;[Second home/Holiday houses]"/>
    <s v="[HTT_PUBLIC_SECTOR_LOAN].[SLICE_BUCKET].&amp;[&lt;100.000]"/>
    <s v="[HTT_PUBLIC_SECTOR_LOAN].[SLICE_BUCKET].&amp;[&gt;=100.000-&lt;300.000]"/>
    <s v="[HTT_PUBLIC_SECTOR_LOAN].[SLICE_BUCKET].&amp;[&gt;=300.000-&lt;500.000]"/>
    <s v="[HTT_PUBLIC_SECTOR_LOAN].[SLICE_BUCKET].&amp;[&gt;=500.000-&lt;1.000.000]"/>
    <s v="[HTT_PUBLIC_SECTOR_LOAN].[SLICE_BUCKET].&amp;[&gt;=1.000.000-&lt;5.000.000]"/>
    <s v="[HTT_PUBLIC_SECTOR_LOAN].[SLICE_BUCKET].&amp;[&gt;=5.000.000]"/>
    <s v="[HTT_PUBLIC_SECTOR_LOAN].[DEBTOR_TYPE].&amp;[BUN]"/>
    <s v="[HTT_PUBLIC_SECTOR_LOAN].[DEBTOR_TYPE].&amp;[GEM]"/>
    <s v="[HTT_PUBLIC_SECTOR_LOAN].[DEBTOR_TYPE].&amp;[LAN]"/>
    <s v="[HTT_PUBLIC_SECTOR_LOAN].[REPAYMENT_TYPE].&amp;[Amortising]"/>
    <s v="[HTT_PUBLIC_SECTOR_LOAN].[REPAYMENT_TYPE].&amp;[Bullet]"/>
    <s v="[HTT_PUBLIC_SECTOR_LOAN].[INTEREST_RATE_TYPE].&amp;"/>
    <s v="[HTT_PUBLIC_SECTOR_LOAN].[INTEREST_RATE_TYPE].&amp;[F]"/>
    <s v="[HTT_PUBLIC_SECTOR_LOAN].[INTEREST_RATE_TYPE].&amp;[V]"/>
    <s v="[Measures].[Anzahl von KONTONUMMER 2]"/>
    <s v="[Measures].[Summe von gewichtet LTV]"/>
    <s v="[Measures].[Summe von Rlfzt_gewichtet_public]"/>
    <s v="[Measures].[Summe von Rlfzt_gewichtet_Mortgage]"/>
    <s v="[Measures].[Summe von gewichtet_Restlaufzeit_bonds]"/>
    <s v="[HTT_MORTGAGE_LOAN].[COUNTRY].&amp;[Netherlands]"/>
    <s v="[HTT_MORTGAGE_LOAN].[SEGMENT].&amp;[RES]"/>
    <s v="[HTT_MORTGAGE_LOAN].[SEGMENT].&amp;[WBG]"/>
  </metadataStrings>
  <mdxMetadata count="107">
    <mdx n="0" f="m">
      <t c="1">
        <n x="7"/>
      </t>
    </mdx>
    <mdx n="0" f="m">
      <t c="1">
        <n x="8"/>
      </t>
    </mdx>
    <mdx n="0" f="m">
      <t c="1">
        <n x="9"/>
      </t>
    </mdx>
    <mdx n="0" f="m">
      <t c="1">
        <n x="10"/>
      </t>
    </mdx>
    <mdx n="0" f="m">
      <t c="1">
        <n x="11"/>
      </t>
    </mdx>
    <mdx n="0" f="m">
      <t c="1">
        <n x="12"/>
      </t>
    </mdx>
    <mdx n="0" f="v">
      <t c="2">
        <n x="28"/>
        <n x="29"/>
      </t>
    </mdx>
    <mdx n="0" f="v">
      <t c="2">
        <n x="30"/>
        <n x="31"/>
      </t>
    </mdx>
    <mdx n="0" f="v">
      <t c="2">
        <n x="32"/>
        <n x="33"/>
      </t>
    </mdx>
    <mdx n="0" f="m">
      <t c="1">
        <n x="34"/>
      </t>
    </mdx>
    <mdx n="0" f="m">
      <t c="1">
        <n x="1"/>
      </t>
    </mdx>
    <mdx n="0" f="m">
      <t c="1">
        <n x="35"/>
      </t>
    </mdx>
    <mdx n="0" f="m">
      <t c="1">
        <n x="36"/>
      </t>
    </mdx>
    <mdx n="0" f="m">
      <t c="1">
        <n x="37"/>
      </t>
    </mdx>
    <mdx n="0" f="m">
      <t c="1">
        <n x="38"/>
      </t>
    </mdx>
    <mdx n="0" f="m">
      <t c="1">
        <n x="27"/>
      </t>
    </mdx>
    <mdx n="0" f="m">
      <t c="1">
        <n x="39"/>
      </t>
    </mdx>
    <mdx n="0" f="m">
      <t c="1">
        <n x="40"/>
      </t>
    </mdx>
    <mdx n="0" f="m">
      <t c="1">
        <n x="41"/>
      </t>
    </mdx>
    <mdx n="0" f="m">
      <t c="1">
        <n x="42"/>
      </t>
    </mdx>
    <mdx n="0" f="m">
      <t c="1">
        <n x="43"/>
      </t>
    </mdx>
    <mdx n="0" f="m">
      <t c="1">
        <n x="44"/>
      </t>
    </mdx>
    <mdx n="0" f="m">
      <t c="1">
        <n x="45"/>
      </t>
    </mdx>
    <mdx n="0" f="m">
      <t c="1">
        <n x="46"/>
      </t>
    </mdx>
    <mdx n="0" f="m">
      <t c="1">
        <n x="47"/>
      </t>
    </mdx>
    <mdx n="0" f="m">
      <t c="1">
        <n x="48"/>
      </t>
    </mdx>
    <mdx n="0" f="m">
      <t c="1">
        <n x="49"/>
      </t>
    </mdx>
    <mdx n="0" f="m">
      <t c="1">
        <n x="50"/>
      </t>
    </mdx>
    <mdx n="0" f="m">
      <t c="1">
        <n x="51"/>
      </t>
    </mdx>
    <mdx n="0" f="m">
      <t c="1">
        <n x="52"/>
      </t>
    </mdx>
    <mdx n="0" f="m">
      <t c="1">
        <n x="53"/>
      </t>
    </mdx>
    <mdx n="0" f="m">
      <t c="1">
        <n x="54"/>
      </t>
    </mdx>
    <mdx n="0" f="m">
      <t c="1">
        <n x="55"/>
      </t>
    </mdx>
    <mdx n="0" f="m">
      <t c="1">
        <n x="56"/>
      </t>
    </mdx>
    <mdx n="0" f="m">
      <t c="1">
        <n x="57"/>
      </t>
    </mdx>
    <mdx n="0" f="m">
      <t c="1">
        <n x="58"/>
      </t>
    </mdx>
    <mdx n="0" f="m">
      <t c="1">
        <n x="59"/>
      </t>
    </mdx>
    <mdx n="0" f="m">
      <t c="1">
        <n x="60"/>
      </t>
    </mdx>
    <mdx n="0" f="m">
      <t c="1">
        <n x="61"/>
      </t>
    </mdx>
    <mdx n="0" f="m">
      <t c="1">
        <n x="62"/>
      </t>
    </mdx>
    <mdx n="0" f="m">
      <t c="1">
        <n x="63"/>
      </t>
    </mdx>
    <mdx n="0" f="m">
      <t c="1">
        <n x="64"/>
      </t>
    </mdx>
    <mdx n="0" f="m">
      <t c="1">
        <n x="65"/>
      </t>
    </mdx>
    <mdx n="0" f="m">
      <t c="1">
        <n x="3"/>
      </t>
    </mdx>
    <mdx n="0" f="m">
      <t c="1">
        <n x="4"/>
      </t>
    </mdx>
    <mdx n="0" f="m">
      <t c="1">
        <n x="66"/>
      </t>
    </mdx>
    <mdx n="0" f="m">
      <t c="1">
        <n x="67"/>
      </t>
    </mdx>
    <mdx n="0" f="m">
      <t c="1">
        <n x="68"/>
      </t>
    </mdx>
    <mdx n="0" f="m">
      <t c="1">
        <n x="69"/>
      </t>
    </mdx>
    <mdx n="0" f="m">
      <t c="1">
        <n x="70"/>
      </t>
    </mdx>
    <mdx n="0" f="m">
      <t c="1">
        <n x="71"/>
      </t>
    </mdx>
    <mdx n="0" f="m">
      <t c="1">
        <n x="72"/>
      </t>
    </mdx>
    <mdx n="0" f="m">
      <t c="1">
        <n x="73"/>
      </t>
    </mdx>
    <mdx n="0" f="m">
      <t c="1">
        <n x="74"/>
      </t>
    </mdx>
    <mdx n="0" f="m">
      <t c="1">
        <n x="75"/>
      </t>
    </mdx>
    <mdx n="0" f="m">
      <t c="1">
        <n x="76"/>
      </t>
    </mdx>
    <mdx n="0" f="m">
      <t c="1">
        <n x="77"/>
      </t>
    </mdx>
    <mdx n="0" f="m">
      <t c="1">
        <n x="78"/>
      </t>
    </mdx>
    <mdx n="0" f="m">
      <t c="1">
        <n x="79"/>
      </t>
    </mdx>
    <mdx n="0" f="m">
      <t c="1">
        <n x="80"/>
      </t>
    </mdx>
    <mdx n="0" f="m">
      <t c="1">
        <n x="81"/>
      </t>
    </mdx>
    <mdx n="0" f="m">
      <t c="1">
        <n x="82"/>
      </t>
    </mdx>
    <mdx n="0" f="m">
      <t c="1">
        <n x="83"/>
      </t>
    </mdx>
    <mdx n="0" f="m">
      <t c="1">
        <n x="84"/>
      </t>
    </mdx>
    <mdx n="0" f="m">
      <t c="1">
        <n x="85"/>
      </t>
    </mdx>
    <mdx n="0" f="m">
      <t c="1">
        <n x="86"/>
      </t>
    </mdx>
    <mdx n="0" f="m">
      <t c="1">
        <n x="87"/>
      </t>
    </mdx>
    <mdx n="0" f="m">
      <t c="1">
        <n x="88"/>
      </t>
    </mdx>
    <mdx n="0" f="m">
      <t c="1">
        <n x="13"/>
      </t>
    </mdx>
    <mdx n="0" f="m">
      <t c="1">
        <n x="14"/>
      </t>
    </mdx>
    <mdx n="0" f="m">
      <t c="1">
        <n x="15"/>
      </t>
    </mdx>
    <mdx n="0" f="m">
      <t c="1">
        <n x="16"/>
      </t>
    </mdx>
    <mdx n="0" f="m">
      <t c="1">
        <n x="17"/>
      </t>
    </mdx>
    <mdx n="0" f="m">
      <t c="1">
        <n x="18"/>
      </t>
    </mdx>
    <mdx n="0" f="m">
      <t c="1">
        <n x="19"/>
      </t>
    </mdx>
    <mdx n="0" f="m">
      <t c="1">
        <n x="20"/>
      </t>
    </mdx>
    <mdx n="0" f="m">
      <t c="1">
        <n x="21"/>
      </t>
    </mdx>
    <mdx n="0" f="m">
      <t c="1">
        <n x="22"/>
      </t>
    </mdx>
    <mdx n="0" f="m">
      <t c="1">
        <n x="23"/>
      </t>
    </mdx>
    <mdx n="0" f="m">
      <t c="1">
        <n x="24"/>
      </t>
    </mdx>
    <mdx n="0" f="m">
      <t c="1">
        <n x="25"/>
      </t>
    </mdx>
    <mdx n="0" f="m">
      <t c="1">
        <n x="26"/>
      </t>
    </mdx>
    <mdx n="0" f="m">
      <t c="1">
        <n x="89"/>
      </t>
    </mdx>
    <mdx n="0" f="m">
      <t c="1">
        <n x="90"/>
      </t>
    </mdx>
    <mdx n="0" f="m">
      <t c="1">
        <n x="91"/>
      </t>
    </mdx>
    <mdx n="0" f="m">
      <t c="1">
        <n x="92"/>
      </t>
    </mdx>
    <mdx n="0" f="m">
      <t c="1">
        <n x="93"/>
      </t>
    </mdx>
    <mdx n="0" f="m">
      <t c="1">
        <n x="94"/>
      </t>
    </mdx>
    <mdx n="0" f="m">
      <t c="1">
        <n x="95"/>
      </t>
    </mdx>
    <mdx n="0" f="m">
      <t c="1">
        <n x="96"/>
      </t>
    </mdx>
    <mdx n="0" f="m">
      <t c="1">
        <n x="97"/>
      </t>
    </mdx>
    <mdx n="0" f="m">
      <t c="1">
        <n x="98"/>
      </t>
    </mdx>
    <mdx n="0" f="m">
      <t c="1">
        <n x="99"/>
      </t>
    </mdx>
    <mdx n="0" f="m">
      <t c="1">
        <n x="100"/>
      </t>
    </mdx>
    <mdx n="0" f="m">
      <t c="1">
        <n x="101"/>
      </t>
    </mdx>
    <mdx n="0" f="m">
      <t c="1">
        <n x="102"/>
      </t>
    </mdx>
    <mdx n="0" f="m">
      <t c="1">
        <n x="103"/>
      </t>
    </mdx>
    <mdx n="0" f="m">
      <t c="1">
        <n x="5"/>
      </t>
    </mdx>
    <mdx n="0" f="m">
      <t c="1">
        <n x="2"/>
      </t>
    </mdx>
    <mdx n="0" f="m">
      <t c="1">
        <n x="104"/>
      </t>
    </mdx>
    <mdx n="0" f="m">
      <t c="1">
        <n x="105"/>
      </t>
    </mdx>
    <mdx n="0" f="m">
      <t c="1">
        <n x="106"/>
      </t>
    </mdx>
    <mdx n="0" f="m">
      <t c="1">
        <n x="107"/>
      </t>
    </mdx>
    <mdx n="0" f="m">
      <t c="1">
        <n x="108"/>
      </t>
    </mdx>
    <mdx n="0" f="m">
      <t c="1">
        <n x="6"/>
      </t>
    </mdx>
    <mdx n="0" f="m">
      <t c="1">
        <n x="109"/>
      </t>
    </mdx>
    <mdx n="0" f="m">
      <t c="1">
        <n x="110"/>
      </t>
    </mdx>
  </mdxMetadata>
  <valueMetadata count="107">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valueMetadata>
</metadata>
</file>

<file path=xl/sharedStrings.xml><?xml version="1.0" encoding="utf-8"?>
<sst xmlns="http://schemas.openxmlformats.org/spreadsheetml/2006/main" count="6089" uniqueCount="4260">
  <si>
    <t>Covered Bonds: CBs input template - March 2018</t>
  </si>
  <si>
    <t xml:space="preserve">Version Number: </t>
  </si>
  <si>
    <t xml:space="preserve">Last Review Date: </t>
  </si>
  <si>
    <t>14/03/2018</t>
  </si>
  <si>
    <t xml:space="preserve">Document Owner: </t>
  </si>
  <si>
    <t>John Hogan</t>
  </si>
  <si>
    <t xml:space="preserve">Document Number: </t>
  </si>
  <si>
    <t>Version control:</t>
  </si>
  <si>
    <t xml:space="preserve">Version 4 signed off by Juan Pablo Soriano </t>
  </si>
  <si>
    <t>(Version 4 on Sharepoint, Version 5 since file creation)</t>
  </si>
  <si>
    <t>For Internal Use Only</t>
  </si>
  <si>
    <t>Content Summary:</t>
  </si>
  <si>
    <t>Data input template for issuers - quarterly monitoring</t>
  </si>
  <si>
    <t>Datum</t>
  </si>
  <si>
    <t>Total Cover Assets</t>
  </si>
  <si>
    <t>Outstanding Covered Bonds</t>
  </si>
  <si>
    <t>Coverage Requirements (§9 PfandBG AT)</t>
  </si>
  <si>
    <t>Weighted Average Life (in years)</t>
  </si>
  <si>
    <t>Residual Life (mn)</t>
  </si>
  <si>
    <t>4. Cover Pool Amortisation Profile</t>
  </si>
  <si>
    <t>Maturity (mn)</t>
  </si>
  <si>
    <t>5. Maturity of Covered Bonds</t>
  </si>
  <si>
    <t>6. Cover Assets - Currency</t>
  </si>
  <si>
    <t xml:space="preserve">7. Covered Bonds - Currency </t>
  </si>
  <si>
    <t xml:space="preserve">8. Covered Bonds - Breakdown by interest rate </t>
  </si>
  <si>
    <t xml:space="preserve">11. Liquid Assets </t>
  </si>
  <si>
    <t>5. Breakdown by regions of main country of origin</t>
  </si>
  <si>
    <t>7. Breakdown by Repayment Type</t>
  </si>
  <si>
    <t>Number of public sector exposures</t>
  </si>
  <si>
    <t>Average exposure size (000s)</t>
  </si>
  <si>
    <t>By buckets (mn):</t>
  </si>
  <si>
    <t>Number of Exposures</t>
  </si>
  <si>
    <t>3. Breakdown by Asset Type</t>
  </si>
  <si>
    <t xml:space="preserve">4. Breakdown by Geography </t>
  </si>
  <si>
    <t>8. Breakdown by Type of Debtor</t>
  </si>
  <si>
    <t xml:space="preserve">A.  Transparency Template - General Information </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</si>
  <si>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</si>
  <si>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</si>
  <si>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</si>
  <si>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</si>
  <si>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</si>
  <si>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</si>
  <si>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</si>
  <si>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</si>
  <si>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</si>
  <si>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</si>
  <si>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</si>
  <si>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</si>
  <si>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</si>
  <si>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Austria</t>
  </si>
  <si>
    <t>G.1.1.2</t>
  </si>
  <si>
    <t>Issuer Name</t>
  </si>
  <si>
    <t>BAWAG P.S.K</t>
  </si>
  <si>
    <t>G.1.1.3</t>
  </si>
  <si>
    <t>Link to Issuer's Website</t>
  </si>
  <si>
    <t xml:space="preserve">https://www.bawaggroup.com/ </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</si>
  <si>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</si>
  <si>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</si>
  <si>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</si>
  <si>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</si>
  <si>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</si>
  <si>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</si>
  <si>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</si>
  <si>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</si>
  <si>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</si>
  <si>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</si>
  <si>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</si>
  <si>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</si>
  <si>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</si>
  <si>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jurisdiction (Y/N)</t>
  </si>
  <si>
    <t>Y</t>
  </si>
  <si>
    <t>G.2.1.2</t>
  </si>
  <si>
    <t>CBD Compliance (Y/N)</t>
  </si>
  <si>
    <t>G.2.1.3</t>
  </si>
  <si>
    <t>CRR Compliance (Y/N)</t>
  </si>
  <si>
    <t>OG.2.1.1</t>
  </si>
  <si>
    <t>LCR status</t>
  </si>
  <si>
    <t>OG.2.1.2</t>
  </si>
  <si>
    <t>OG.2.1.3</t>
  </si>
  <si>
    <t>OG.2.1.4</t>
  </si>
  <si>
    <t>OG.2.1.5</t>
  </si>
  <si>
    <t>OG.2.1.6</t>
  </si>
  <si>
    <t>1.General Information</t>
  </si>
  <si>
    <t>Nominal (mn)</t>
  </si>
  <si>
    <t>G.3.1.1</t>
  </si>
  <si>
    <t>G.3.1.2</t>
  </si>
  <si>
    <t>OG.3.1.1</t>
  </si>
  <si>
    <t>Cover Pool Size [NPV] (mn)</t>
  </si>
  <si>
    <t>ND1</t>
  </si>
  <si>
    <t>OG.3.1.2</t>
  </si>
  <si>
    <t>Outstanding Covered Bonds [NPV] (mn)</t>
  </si>
  <si>
    <t>OG.3.1.3</t>
  </si>
  <si>
    <t>OG.3.1.4</t>
  </si>
  <si>
    <t>Coverage Requirements NPV (§9 PfandBG AT)</t>
  </si>
  <si>
    <t xml:space="preserve">2. Over-collateralisation (OC) </t>
  </si>
  <si>
    <t>Legal / Regulatory</t>
  </si>
  <si>
    <t>Actual</t>
  </si>
  <si>
    <t>Minimum Committed</t>
  </si>
  <si>
    <t>Purpose</t>
  </si>
  <si>
    <t>G.3.2.1</t>
  </si>
  <si>
    <t>OC (%)</t>
  </si>
  <si>
    <t>OG.3.2.1</t>
  </si>
  <si>
    <t>OC
(Coverage Requirements §9 PfandBG AT in % of Outstanding CB)</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</si>
  <si>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</si>
  <si>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</si>
  <si>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</si>
  <si>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</si>
  <si>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</si>
  <si>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</si>
  <si>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</si>
  <si>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</si>
  <si>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</si>
  <si>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</si>
  <si>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</si>
  <si>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</si>
  <si>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</si>
  <si>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</si>
  <si>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</si>
  <si>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</si>
  <si>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</si>
  <si>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</si>
  <si>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</si>
  <si>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</si>
  <si>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</si>
  <si>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</si>
  <si>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</si>
  <si>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</si>
  <si>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</si>
  <si>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</si>
  <si>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</si>
  <si>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</si>
  <si>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 xml:space="preserve">Contractual </t>
  </si>
  <si>
    <t xml:space="preserve">Expected Upon Prepayments </t>
  </si>
  <si>
    <t>% Total Contractual</t>
  </si>
  <si>
    <t>% Total Expected Upon Prepayments</t>
  </si>
  <si>
    <t>G.3.4.1</t>
  </si>
  <si>
    <t>By buckets:</t>
  </si>
  <si>
    <t>G.3.4.2</t>
  </si>
  <si>
    <t>0 - 1 Y</t>
  </si>
  <si>
    <t>G.3.4.3</t>
  </si>
  <si>
    <t>1 - 2 Y</t>
  </si>
  <si>
    <t>G.3.4.4</t>
  </si>
  <si>
    <t>2 - 3 Y</t>
  </si>
  <si>
    <t>G.3.4.5</t>
  </si>
  <si>
    <t>3 - 4 Y</t>
  </si>
  <si>
    <t>G.3.4.6</t>
  </si>
  <si>
    <t>4 - 5 Y</t>
  </si>
  <si>
    <t>G.3.4.7</t>
  </si>
  <si>
    <t>5 - 10 Y</t>
  </si>
  <si>
    <t>G.3.4.8</t>
  </si>
  <si>
    <t>10+ Y</t>
  </si>
  <si>
    <t>G.3.4.9</t>
  </si>
  <si>
    <t>OG.3.4.1</t>
  </si>
  <si>
    <t>o/w 0-1 day</t>
  </si>
  <si>
    <t/>
  </si>
  <si>
    <t>OG.3.4.2</t>
  </si>
  <si>
    <t>o/w 0-0.5y</t>
  </si>
  <si>
    <t>OG.3.4.3</t>
  </si>
  <si>
    <t>o/w 0.5-1 y</t>
  </si>
  <si>
    <t>OG.3.4.4</t>
  </si>
  <si>
    <t>o/w 1-1.5y</t>
  </si>
  <si>
    <t>OG.3.4.5</t>
  </si>
  <si>
    <t>o/w 1.5-2 y</t>
  </si>
  <si>
    <t>OG.3.4.6</t>
  </si>
  <si>
    <t>OG.3.4.7</t>
  </si>
  <si>
    <t>OG.3.4.8</t>
  </si>
  <si>
    <t>OG.3.4.9</t>
  </si>
  <si>
    <t>OG.3.4.10</t>
  </si>
  <si>
    <t xml:space="preserve">Initial Maturity  </t>
  </si>
  <si>
    <t xml:space="preserve">Extended Maturity </t>
  </si>
  <si>
    <t xml:space="preserve">% Total Initial Maturity </t>
  </si>
  <si>
    <t>% Total Extended Maturity</t>
  </si>
  <si>
    <t>G.3.5.1</t>
  </si>
  <si>
    <t>Weighted Average life (in years)</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</si>
  <si>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</si>
  <si>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</si>
  <si>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</si>
  <si>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</si>
  <si>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</si>
  <si>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</si>
  <si>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</si>
  <si>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</si>
  <si>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</si>
  <si>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</si>
  <si>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</si>
  <si>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</si>
  <si>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</si>
  <si>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</si>
  <si>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</si>
  <si>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</si>
  <si>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</si>
  <si>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</si>
  <si>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</si>
  <si>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</si>
  <si>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</si>
  <si>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</si>
  <si>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</si>
  <si>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</si>
  <si>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ND2</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</si>
  <si>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</si>
  <si>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</si>
  <si>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</si>
  <si>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</si>
  <si>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</si>
  <si>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</si>
  <si>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</si>
  <si>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</si>
  <si>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</si>
  <si>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</si>
  <si>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</si>
  <si>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</si>
  <si>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</si>
  <si>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</si>
  <si>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</si>
  <si>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</si>
  <si>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</si>
  <si>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</si>
  <si>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</si>
  <si>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</si>
  <si>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</si>
  <si>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</si>
  <si>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</si>
  <si>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</si>
  <si>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</si>
  <si>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</si>
  <si>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</si>
  <si>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</si>
  <si>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</si>
  <si>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</si>
  <si>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</si>
  <si>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</si>
  <si>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</si>
  <si>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</si>
  <si>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</si>
  <si>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</si>
  <si>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</si>
  <si>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</si>
  <si>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</si>
  <si>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</si>
  <si>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</si>
  <si>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</si>
  <si>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</si>
  <si>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</si>
  <si>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</si>
  <si>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</si>
  <si>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</si>
  <si>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</si>
  <si>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</si>
  <si>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</si>
  <si>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</si>
  <si>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</si>
  <si>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</si>
  <si>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</si>
  <si>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</si>
  <si>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</si>
  <si>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</si>
  <si>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</si>
  <si>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</si>
  <si>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</si>
  <si>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</si>
  <si>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</si>
  <si>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</si>
  <si>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</si>
  <si>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</si>
  <si>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</si>
  <si>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</si>
  <si>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</si>
  <si>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</si>
  <si>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</si>
  <si>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</si>
  <si>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</si>
  <si>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</si>
  <si>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</si>
  <si>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</si>
  <si>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</si>
  <si>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</si>
  <si>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</si>
  <si>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</si>
  <si>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</si>
  <si>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</si>
  <si>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</si>
  <si>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</si>
  <si>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</si>
  <si>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</si>
  <si>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</si>
  <si>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</si>
  <si>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</si>
  <si>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</si>
  <si>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</si>
  <si>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</si>
  <si>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</si>
  <si>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</si>
  <si>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</si>
  <si>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</si>
  <si>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</si>
  <si>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</si>
  <si>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</si>
  <si>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</si>
  <si>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</si>
  <si>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</si>
  <si>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</si>
  <si>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</si>
  <si>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</si>
  <si>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</si>
  <si>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</si>
  <si>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</si>
  <si>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</si>
  <si>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</si>
  <si>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</si>
  <si>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</si>
  <si>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</si>
  <si>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</si>
  <si>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</si>
  <si>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</si>
  <si>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</si>
  <si>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</si>
  <si>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</si>
  <si>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</si>
  <si>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</si>
  <si>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</si>
  <si>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</si>
  <si>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</si>
  <si>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</si>
  <si>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</si>
  <si>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</si>
  <si>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</si>
  <si>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</si>
  <si>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</si>
  <si>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</si>
  <si>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</si>
  <si>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</si>
  <si>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</si>
  <si>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</si>
  <si>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</si>
  <si>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</si>
  <si>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</si>
  <si>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</si>
  <si>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</si>
  <si>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</si>
  <si>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</si>
  <si>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</si>
  <si>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</si>
  <si>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</si>
  <si>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</si>
  <si>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</si>
  <si>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</si>
  <si>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</si>
  <si>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</si>
  <si>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</si>
  <si>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</si>
  <si>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</si>
  <si>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</si>
  <si>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</si>
  <si>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</si>
  <si>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</si>
  <si>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</si>
  <si>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</si>
  <si>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</si>
  <si>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</si>
  <si>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</si>
  <si>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</si>
  <si>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</si>
  <si>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</si>
  <si>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</si>
  <si>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</si>
  <si>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</si>
  <si>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</si>
  <si>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</si>
  <si>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</si>
  <si>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</si>
  <si>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</si>
  <si>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</si>
  <si>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</si>
  <si>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</si>
  <si>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</si>
  <si>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</si>
  <si>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</si>
  <si>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</si>
  <si>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</si>
  <si>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</si>
  <si>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</si>
  <si>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(2)</t>
  </si>
  <si>
    <t>G.3.14.3</t>
  </si>
  <si>
    <t xml:space="preserve">specific criteria </t>
  </si>
  <si>
    <t>ESG</t>
  </si>
  <si>
    <t>G.3.14.4</t>
  </si>
  <si>
    <t>link to the committed objective criteria</t>
  </si>
  <si>
    <t>https://www.bawaggroup.com/BAWAGGROUP/IR/EN/ESG</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</si>
  <si>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</si>
  <si>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</si>
  <si>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</si>
  <si>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</si>
  <si>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</si>
  <si>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</si>
  <si>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</si>
  <si>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</si>
  <si>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</si>
  <si>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</si>
  <si>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</si>
  <si>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</si>
  <si>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</si>
  <si>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</si>
  <si>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</si>
  <si>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</si>
  <si>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</si>
  <si>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</si>
  <si>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</si>
  <si>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</si>
  <si>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</si>
  <si>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</si>
  <si>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</si>
  <si>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</si>
  <si>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</si>
  <si>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</si>
  <si>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</si>
  <si>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</si>
  <si>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</si>
  <si>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</si>
  <si>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</si>
  <si>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</si>
  <si>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</si>
  <si>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</si>
  <si>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</si>
  <si>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</si>
  <si>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</si>
  <si>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</si>
  <si>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</si>
  <si>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</si>
  <si>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</si>
  <si>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</si>
  <si>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</si>
  <si>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</si>
  <si>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</si>
  <si>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</si>
  <si>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</si>
  <si>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</si>
  <si>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</si>
  <si>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</si>
  <si>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</si>
  <si>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</si>
  <si>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</si>
  <si>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</si>
  <si>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</si>
  <si>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</si>
  <si>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</si>
  <si>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</si>
  <si>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</si>
  <si>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</si>
  <si>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</si>
  <si>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</si>
  <si>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</si>
  <si>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</si>
  <si>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</si>
  <si>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</si>
  <si>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</si>
  <si>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</si>
  <si>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</si>
  <si>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</si>
  <si>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</si>
  <si>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</si>
  <si>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</si>
  <si>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</si>
  <si>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</si>
  <si>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</si>
  <si>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</si>
  <si>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</si>
  <si>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</si>
  <si>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</si>
  <si>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</si>
  <si>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</si>
  <si>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</si>
  <si>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</si>
  <si>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</si>
  <si>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</si>
  <si>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</si>
  <si>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</si>
  <si>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</si>
  <si>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</si>
  <si>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</si>
  <si>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</si>
  <si>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</si>
  <si>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</si>
  <si>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</si>
  <si>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</si>
  <si>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</si>
  <si>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</si>
  <si>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</si>
  <si>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</si>
  <si>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</si>
  <si>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</si>
  <si>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</si>
  <si>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</si>
  <si>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</si>
  <si>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</si>
  <si>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</si>
  <si>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</si>
  <si>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</si>
  <si>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</si>
  <si>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</si>
  <si>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</si>
  <si>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</si>
  <si>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</si>
  <si>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</si>
  <si>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</si>
  <si>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</si>
  <si>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</si>
  <si>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</si>
  <si>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</si>
  <si>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</si>
  <si>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</si>
  <si>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</si>
  <si>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</si>
  <si>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</si>
  <si>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</si>
  <si>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</si>
  <si>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</si>
  <si>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</si>
  <si>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</si>
  <si>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</si>
  <si>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</si>
  <si>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</si>
  <si>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</si>
  <si>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</si>
  <si>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</si>
  <si>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</si>
  <si>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</si>
  <si>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</si>
  <si>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</si>
  <si>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</si>
  <si>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</si>
  <si>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</si>
  <si>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</si>
  <si>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</si>
  <si>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European Union</t>
  </si>
  <si>
    <t>Belgium</t>
  </si>
  <si>
    <t>Bulgaria</t>
  </si>
  <si>
    <t>Croatia</t>
  </si>
  <si>
    <t>Cyprus</t>
  </si>
  <si>
    <t>Czechia</t>
  </si>
  <si>
    <t>Denmark</t>
  </si>
  <si>
    <t>Estonia</t>
  </si>
  <si>
    <t>Finland</t>
  </si>
  <si>
    <t>France</t>
  </si>
  <si>
    <t>Germany</t>
  </si>
  <si>
    <t>Greece</t>
  </si>
  <si>
    <t>Netherlands</t>
  </si>
  <si>
    <t>Hungary</t>
  </si>
  <si>
    <t>Ireland</t>
  </si>
  <si>
    <t>Italy</t>
  </si>
  <si>
    <t>Latvia</t>
  </si>
  <si>
    <t>Lithuania</t>
  </si>
  <si>
    <t>Luxembourg</t>
  </si>
  <si>
    <t>Malta</t>
  </si>
  <si>
    <t>Poland</t>
  </si>
  <si>
    <t>Portugal</t>
  </si>
  <si>
    <t>Romania</t>
  </si>
  <si>
    <t>Slovakia</t>
  </si>
  <si>
    <t>Slovenia</t>
  </si>
  <si>
    <t>Spain</t>
  </si>
  <si>
    <t>Sweden</t>
  </si>
  <si>
    <t>Iceland</t>
  </si>
  <si>
    <t>Liechtenstein</t>
  </si>
  <si>
    <t>Norway</t>
  </si>
  <si>
    <t>United Kingdom</t>
  </si>
  <si>
    <t>Burgenland</t>
  </si>
  <si>
    <t>Kärnten</t>
  </si>
  <si>
    <t>Niederösterreich</t>
  </si>
  <si>
    <t>Oberösterreich</t>
  </si>
  <si>
    <t>Salzburg</t>
  </si>
  <si>
    <t>Steiermark</t>
  </si>
  <si>
    <t>Tirol</t>
  </si>
  <si>
    <t>Vorarlberg</t>
  </si>
  <si>
    <t>Wien</t>
  </si>
  <si>
    <t>6. Breakdown by Interest Rate</t>
  </si>
  <si>
    <t>Fixed rate</t>
  </si>
  <si>
    <t>Floating rate</t>
  </si>
  <si>
    <t>Bullet / interest only</t>
  </si>
  <si>
    <t>Amortising</t>
  </si>
  <si>
    <t>% NPLs</t>
  </si>
  <si>
    <t>Nominal</t>
  </si>
  <si>
    <t>&lt; 0,1</t>
  </si>
  <si>
    <t>0,1 - 0,3</t>
  </si>
  <si>
    <t>0,3 - 0,5</t>
  </si>
  <si>
    <t>0,5 - 1,0</t>
  </si>
  <si>
    <t>1,0 - 5,0</t>
  </si>
  <si>
    <t>&gt; 5,0</t>
  </si>
  <si>
    <t>TBC at a country level</t>
  </si>
  <si>
    <t>Industry</t>
  </si>
  <si>
    <t>Land</t>
  </si>
  <si>
    <t>B2.  Transparency Template - Public Sector Assets</t>
  </si>
  <si>
    <t>CONTENT OF TAB B</t>
  </si>
  <si>
    <t>8. Public Sector Assets</t>
  </si>
  <si>
    <t>1. General Information</t>
  </si>
  <si>
    <t>PS.8.1.1</t>
  </si>
  <si>
    <t>OPS.8.1.1</t>
  </si>
  <si>
    <t>OPS.8.1.2</t>
  </si>
  <si>
    <t>OPS.8.1.3</t>
  </si>
  <si>
    <t>OPS.8.1.4</t>
  </si>
  <si>
    <t>OPS.8.1.5</t>
  </si>
  <si>
    <t>OPS.8.1.6</t>
  </si>
  <si>
    <t>OPS.8.1.7</t>
  </si>
  <si>
    <t>2. Size Information</t>
  </si>
  <si>
    <t>% Public Sector Assets</t>
  </si>
  <si>
    <t>% No. of Exposures</t>
  </si>
  <si>
    <t>PS.8.2.1</t>
  </si>
  <si>
    <t>PS.8.2.2</t>
  </si>
  <si>
    <t>PS.8.2.3</t>
  </si>
  <si>
    <t>PS.8.2.4</t>
  </si>
  <si>
    <t>PS.8.2.5</t>
  </si>
  <si>
    <t>PS.8.2.6</t>
  </si>
  <si>
    <t>PS.8.2.7</t>
  </si>
  <si>
    <t>PS.8.2.8</t>
  </si>
  <si>
    <t>PS.8.2.9</t>
  </si>
  <si>
    <t>PS.8.2.10</t>
  </si>
  <si>
    <t>PS.8.2.11</t>
  </si>
  <si>
    <t>PS.8.2.12</t>
  </si>
  <si>
    <t>PS.8.2.13</t>
  </si>
  <si>
    <t>PS.8.2.14</t>
  </si>
  <si>
    <t>PS.8.2.15</t>
  </si>
  <si>
    <t>PS.8.2.16</t>
  </si>
  <si>
    <t>PS.8.2.17</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</si>
  <si>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</si>
  <si>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</si>
  <si>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</si>
  <si>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</si>
  <si>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</si>
  <si>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</si>
  <si>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</si>
  <si>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</si>
  <si>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</si>
  <si>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</si>
  <si>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</si>
  <si>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</si>
  <si>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</si>
  <si>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</si>
  <si>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</si>
  <si>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</si>
  <si>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</si>
  <si>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</si>
  <si>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</si>
  <si>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</si>
  <si>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</si>
  <si>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</si>
  <si>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</si>
  <si>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</si>
  <si>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</si>
  <si>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</si>
  <si>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</si>
  <si>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</si>
  <si>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</si>
  <si>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</si>
  <si>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</si>
  <si>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</si>
  <si>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</si>
  <si>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</si>
  <si>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</si>
  <si>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</si>
  <si>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</si>
  <si>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</si>
  <si>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</si>
  <si>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</si>
  <si>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</si>
  <si>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</si>
  <si>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</si>
  <si>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</si>
  <si>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</si>
  <si>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</si>
  <si>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</si>
  <si>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</si>
  <si>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</si>
  <si>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</si>
  <si>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</si>
  <si>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</si>
  <si>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</si>
  <si>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</si>
  <si>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</si>
  <si>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</si>
  <si>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</si>
  <si>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</si>
  <si>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</si>
  <si>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</si>
  <si>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</si>
  <si>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</si>
  <si>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</si>
  <si>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</si>
  <si>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</si>
  <si>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</si>
  <si>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</si>
  <si>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</si>
  <si>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</si>
  <si>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</si>
  <si>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</si>
  <si>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</si>
  <si>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</si>
  <si>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</si>
  <si>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</si>
  <si>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</si>
  <si>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</si>
  <si>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</si>
  <si>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</si>
  <si>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</si>
  <si>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</si>
  <si>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</si>
  <si>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</si>
  <si>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</si>
  <si>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</si>
  <si>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</si>
  <si>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</si>
  <si>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</si>
  <si>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</si>
  <si>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</si>
  <si>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</si>
  <si>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</si>
  <si>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</si>
  <si>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</si>
  <si>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</si>
  <si>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</si>
  <si>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</si>
  <si>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</si>
  <si>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</si>
  <si>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</si>
  <si>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</si>
  <si>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</si>
  <si>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</si>
  <si>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</si>
  <si>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</si>
  <si>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</si>
  <si>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</si>
  <si>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</si>
  <si>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</si>
  <si>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</si>
  <si>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</si>
  <si>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</si>
  <si>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</si>
  <si>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</si>
  <si>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</si>
  <si>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</si>
  <si>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</si>
  <si>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</si>
  <si>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</si>
  <si>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</si>
  <si>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</si>
  <si>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</si>
  <si>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</si>
  <si>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</si>
  <si>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</si>
  <si>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</si>
  <si>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</si>
  <si>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</si>
  <si>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</si>
  <si>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</si>
  <si>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</si>
  <si>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</si>
  <si>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</si>
  <si>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</si>
  <si>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</si>
  <si>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</si>
  <si>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</si>
  <si>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</si>
  <si>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</si>
  <si>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</si>
  <si>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</si>
  <si>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</si>
  <si>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</si>
  <si>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</si>
  <si>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</si>
  <si>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</si>
  <si>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</si>
  <si>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</si>
  <si>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</si>
  <si>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Value</t>
  </si>
  <si>
    <t>Currencies</t>
  </si>
  <si>
    <t>Countries</t>
  </si>
  <si>
    <t>South Korea</t>
  </si>
  <si>
    <t>ACT</t>
  </si>
  <si>
    <t>Brussels Hoofdstedelijk Gewest</t>
  </si>
  <si>
    <t>Region Hovedstaden</t>
  </si>
  <si>
    <t>Auvergne-Rhône-Alpes</t>
  </si>
  <si>
    <t>Baden-Württemberg</t>
  </si>
  <si>
    <t>Attiki (including Athens)</t>
  </si>
  <si>
    <t>Budapest</t>
  </si>
  <si>
    <t>Carlow</t>
  </si>
  <si>
    <t>ABRUZZO</t>
  </si>
  <si>
    <t>Drenthe</t>
  </si>
  <si>
    <t>Viken</t>
  </si>
  <si>
    <t>Dolnoslaskie</t>
  </si>
  <si>
    <t>Lisbon city</t>
  </si>
  <si>
    <t>Uusimaa</t>
  </si>
  <si>
    <t>Andalucia</t>
  </si>
  <si>
    <t>Stor-Göteborg</t>
  </si>
  <si>
    <t>Lake Geneva Area</t>
  </si>
  <si>
    <t>North</t>
  </si>
  <si>
    <t>Capital Area</t>
  </si>
  <si>
    <t>Prague-East &amp; Prague-West</t>
  </si>
  <si>
    <t>Greater Auckland</t>
  </si>
  <si>
    <t>Busan</t>
  </si>
  <si>
    <t>Singapore landed</t>
  </si>
  <si>
    <t>Bratislavský kraj</t>
  </si>
  <si>
    <t>North-West</t>
  </si>
  <si>
    <t>Astrakhan Region</t>
  </si>
  <si>
    <t>TR 10 (Istanbul)</t>
  </si>
  <si>
    <t>Diekirch</t>
  </si>
  <si>
    <t>Tallinn</t>
  </si>
  <si>
    <t>Riga</t>
  </si>
  <si>
    <t>Vilnius</t>
  </si>
  <si>
    <t>NSW</t>
  </si>
  <si>
    <t>Vlaams Gewest</t>
  </si>
  <si>
    <t>Region Sjælland</t>
  </si>
  <si>
    <t>Bourgogne-Franche-Comté</t>
  </si>
  <si>
    <t>Bayern</t>
  </si>
  <si>
    <t>Central Greece (exl Attiki)</t>
  </si>
  <si>
    <t>Bács-Kiskun</t>
  </si>
  <si>
    <t>Cavan</t>
  </si>
  <si>
    <t>BASILICATA</t>
  </si>
  <si>
    <t>Friesland</t>
  </si>
  <si>
    <t>Agder</t>
  </si>
  <si>
    <t>Kujawsko-Pomorskie</t>
  </si>
  <si>
    <t>Lisbon region</t>
  </si>
  <si>
    <t>Itä-Uusimaa</t>
  </si>
  <si>
    <t>Aragon</t>
  </si>
  <si>
    <t>Stor-Malmö</t>
  </si>
  <si>
    <t>W. Switzerland</t>
  </si>
  <si>
    <t>Yorks / Humb</t>
  </si>
  <si>
    <t>Reykjanes/Suðurnes</t>
  </si>
  <si>
    <t>Středočeský kraj excl. Prague -East &amp; Prague-West</t>
  </si>
  <si>
    <t>Greater Wellington</t>
  </si>
  <si>
    <t>Chungcheongbuk-do</t>
  </si>
  <si>
    <t>Singapore non-landed</t>
  </si>
  <si>
    <t>Trnavský kraj</t>
  </si>
  <si>
    <t>Center</t>
  </si>
  <si>
    <t>Chelyabinsk Region</t>
  </si>
  <si>
    <t>TR 51 (Ankara)</t>
  </si>
  <si>
    <t>Grevenmacher</t>
  </si>
  <si>
    <t>Other Estonia</t>
  </si>
  <si>
    <t>Other Latvia</t>
  </si>
  <si>
    <t>Other Lithuania</t>
  </si>
  <si>
    <t>NT</t>
  </si>
  <si>
    <t>Waals Gewest</t>
  </si>
  <si>
    <t>Multi-regions</t>
  </si>
  <si>
    <t>Region Syddanmark</t>
  </si>
  <si>
    <t>Bretagne</t>
  </si>
  <si>
    <t>Berlin</t>
  </si>
  <si>
    <t>Peloponissos</t>
  </si>
  <si>
    <t>Baranya</t>
  </si>
  <si>
    <t>Clare</t>
  </si>
  <si>
    <t>CALABRIA</t>
  </si>
  <si>
    <t>Groningen</t>
  </si>
  <si>
    <t>Troms og Finnmark</t>
  </si>
  <si>
    <t>Lodzkie</t>
  </si>
  <si>
    <t>Coimbra area</t>
  </si>
  <si>
    <t>Varsinais-Suomi</t>
  </si>
  <si>
    <t>Asturias</t>
  </si>
  <si>
    <t>Stockholms län</t>
  </si>
  <si>
    <t>Berne</t>
  </si>
  <si>
    <t>North West</t>
  </si>
  <si>
    <t>Vesturland</t>
  </si>
  <si>
    <t>Jihočeský kraj</t>
  </si>
  <si>
    <t>Christchurch</t>
  </si>
  <si>
    <t>Chungcheongnam-do</t>
  </si>
  <si>
    <t>Nitriansky kraj</t>
  </si>
  <si>
    <t>North-East</t>
  </si>
  <si>
    <t>Republic of Tatarstan</t>
  </si>
  <si>
    <t>TR 31 (Izmir)</t>
  </si>
  <si>
    <t>BGN</t>
  </si>
  <si>
    <t>QLD</t>
  </si>
  <si>
    <t>Central</t>
  </si>
  <si>
    <t>Region Midtjylland</t>
  </si>
  <si>
    <t>Centre-Val de Loire</t>
  </si>
  <si>
    <t>Brandenburg</t>
  </si>
  <si>
    <t>Ionian Islands</t>
  </si>
  <si>
    <t>Békés</t>
  </si>
  <si>
    <t>Cork</t>
  </si>
  <si>
    <t>CAMPANIA</t>
  </si>
  <si>
    <t>Overijssel</t>
  </si>
  <si>
    <t>Innlandet</t>
  </si>
  <si>
    <t>Lubelskie</t>
  </si>
  <si>
    <t>Porto area</t>
  </si>
  <si>
    <t>Satakunta</t>
  </si>
  <si>
    <t>Baleares</t>
  </si>
  <si>
    <t>Östra mellansverige</t>
  </si>
  <si>
    <t>N.W. Switzerland</t>
  </si>
  <si>
    <t>E Mid</t>
  </si>
  <si>
    <t>Vestfirðir</t>
  </si>
  <si>
    <t>Plzeňský kraj</t>
  </si>
  <si>
    <t>Daegeon</t>
  </si>
  <si>
    <t>Trenčiansky kraj</t>
  </si>
  <si>
    <t>South-East</t>
  </si>
  <si>
    <t>Moscow (City)</t>
  </si>
  <si>
    <t>TR 21 (Edirne Kirklareli Tekirdag)</t>
  </si>
  <si>
    <t>SA</t>
  </si>
  <si>
    <t>Region Nordjylland</t>
  </si>
  <si>
    <t>Corse</t>
  </si>
  <si>
    <t>Bremen</t>
  </si>
  <si>
    <t>Ipiros</t>
  </si>
  <si>
    <t>Borsod-Abaúj-Zemplén</t>
  </si>
  <si>
    <t>Donegal</t>
  </si>
  <si>
    <t>EMILIA ROMAGNA</t>
  </si>
  <si>
    <t>Gelderland</t>
  </si>
  <si>
    <t>Vestland</t>
  </si>
  <si>
    <t>Lubuskie</t>
  </si>
  <si>
    <t>North inland regions</t>
  </si>
  <si>
    <t>Kanta-Häme</t>
  </si>
  <si>
    <t>Canarias</t>
  </si>
  <si>
    <t>Småland med öarna</t>
  </si>
  <si>
    <t>Central Switzerland</t>
  </si>
  <si>
    <t>W Mid</t>
  </si>
  <si>
    <t>Norðurland-V</t>
  </si>
  <si>
    <t>Karlovarský kraj</t>
  </si>
  <si>
    <t>Daegu</t>
  </si>
  <si>
    <t>Žilinský kraj</t>
  </si>
  <si>
    <t>Bucharest-Ilfov</t>
  </si>
  <si>
    <t>Moscow Region</t>
  </si>
  <si>
    <t>TR 22 (BalikesirCanakkale)</t>
  </si>
  <si>
    <t>TAS</t>
  </si>
  <si>
    <t>Greenland &amp; Faroe Islands</t>
  </si>
  <si>
    <t>Grand Est</t>
  </si>
  <si>
    <t>Hamburg</t>
  </si>
  <si>
    <t>Thessalia</t>
  </si>
  <si>
    <t>Csongrád</t>
  </si>
  <si>
    <t>Dublin</t>
  </si>
  <si>
    <t>FRIULI VENEZIA GIULIA</t>
  </si>
  <si>
    <t>Noord Brabant</t>
  </si>
  <si>
    <t>Møre og Romsdal</t>
  </si>
  <si>
    <t>Malopolskie</t>
  </si>
  <si>
    <t>Central inland regions</t>
  </si>
  <si>
    <t>Pirkanmaa</t>
  </si>
  <si>
    <t>Cantabria</t>
  </si>
  <si>
    <t>Sydsverige</t>
  </si>
  <si>
    <t>S. Switzerland</t>
  </si>
  <si>
    <t>E Anglia</t>
  </si>
  <si>
    <t>Norðurland-E</t>
  </si>
  <si>
    <t>Ústecký kraj</t>
  </si>
  <si>
    <t>Jeollabuk-do</t>
  </si>
  <si>
    <t>Banskobystrický kraj</t>
  </si>
  <si>
    <t>South Muntenia</t>
  </si>
  <si>
    <t>Nizhny Novgorod Region</t>
  </si>
  <si>
    <t>TR 32 (Aydin Denizli Mugla)</t>
  </si>
  <si>
    <t>VIC</t>
  </si>
  <si>
    <t>No data_Denmark</t>
  </si>
  <si>
    <t>Hauts-de-France</t>
  </si>
  <si>
    <t>Hessen</t>
  </si>
  <si>
    <t>Makedonia</t>
  </si>
  <si>
    <t>Fejér</t>
  </si>
  <si>
    <t>Galway</t>
  </si>
  <si>
    <t>LAZIO</t>
  </si>
  <si>
    <t>Limburg</t>
  </si>
  <si>
    <t>Nordland</t>
  </si>
  <si>
    <t>Mazowieckie</t>
  </si>
  <si>
    <t>Alentejo</t>
  </si>
  <si>
    <t>Päijät-Häme</t>
  </si>
  <si>
    <t>Castilla Leon</t>
  </si>
  <si>
    <t>Västsverige</t>
  </si>
  <si>
    <t>E. Switzerland</t>
  </si>
  <si>
    <t>South West</t>
  </si>
  <si>
    <t>Austurland</t>
  </si>
  <si>
    <t>Liberecký kraj</t>
  </si>
  <si>
    <t>Jeollanam-do</t>
  </si>
  <si>
    <t>Košický kraj</t>
  </si>
  <si>
    <t>South-West Oltenia</t>
  </si>
  <si>
    <t>Novosibirsk Region</t>
  </si>
  <si>
    <t>TR 33 (Afyonkarahisar Kutahya Manisa</t>
  </si>
  <si>
    <t>WA</t>
  </si>
  <si>
    <t>Île-de-France</t>
  </si>
  <si>
    <t>Mecklenburg-Vorpommern</t>
  </si>
  <si>
    <t>Thraki</t>
  </si>
  <si>
    <t>Győr-Moson-Sopron</t>
  </si>
  <si>
    <t>Kerry</t>
  </si>
  <si>
    <t>LIGURIA</t>
  </si>
  <si>
    <t>Flevoland</t>
  </si>
  <si>
    <t>Trøndelag</t>
  </si>
  <si>
    <t>Opolskie</t>
  </si>
  <si>
    <t>Algarve</t>
  </si>
  <si>
    <t>Kymenlaakso</t>
  </si>
  <si>
    <t>Catilla-La Mancha</t>
  </si>
  <si>
    <t>Norra mellansverige</t>
  </si>
  <si>
    <t>Zurich</t>
  </si>
  <si>
    <t>South East</t>
  </si>
  <si>
    <t>Suðurland</t>
  </si>
  <si>
    <t>Královéhradecký kraj</t>
  </si>
  <si>
    <t>Incheon</t>
  </si>
  <si>
    <t>Prešovský kraj</t>
  </si>
  <si>
    <t>West</t>
  </si>
  <si>
    <t>Omsk Region</t>
  </si>
  <si>
    <t>TR 41 (Bursa Eskisehir Bilecik)</t>
  </si>
  <si>
    <t>HRK</t>
  </si>
  <si>
    <t>Normandie</t>
  </si>
  <si>
    <t>Niedersachsen</t>
  </si>
  <si>
    <t>Aegean Islands</t>
  </si>
  <si>
    <t>Hajdú-Bihar</t>
  </si>
  <si>
    <t>Kildare</t>
  </si>
  <si>
    <t>LOMBARDIA</t>
  </si>
  <si>
    <t>Utrecht</t>
  </si>
  <si>
    <t>Oslo</t>
  </si>
  <si>
    <t>Podkarpackie</t>
  </si>
  <si>
    <t>Acores/Madeira</t>
  </si>
  <si>
    <t>South Karelia</t>
  </si>
  <si>
    <t>Cataluna</t>
  </si>
  <si>
    <t>Mellersta Norrland</t>
  </si>
  <si>
    <t>London</t>
  </si>
  <si>
    <t>Reykjavík</t>
  </si>
  <si>
    <t>Pardubický kraj</t>
  </si>
  <si>
    <t>Jeju-do</t>
  </si>
  <si>
    <t>Perm Territory</t>
  </si>
  <si>
    <t>TR 42 (Bolu Kocaeli Sakarya Yalova</t>
  </si>
  <si>
    <t>HUF</t>
  </si>
  <si>
    <t>Nouvelle-Aquitaine</t>
  </si>
  <si>
    <t>Nordrhein-Westfalen</t>
  </si>
  <si>
    <t>Crete</t>
  </si>
  <si>
    <t>Heves</t>
  </si>
  <si>
    <t>Kilkenny</t>
  </si>
  <si>
    <t>MARCHE</t>
  </si>
  <si>
    <t>Noord Holland</t>
  </si>
  <si>
    <t>Rogaland</t>
  </si>
  <si>
    <t>Podlaskie</t>
  </si>
  <si>
    <t>Etelä-Savo</t>
  </si>
  <si>
    <t>Madrid</t>
  </si>
  <si>
    <t>Övre Norrland</t>
  </si>
  <si>
    <t>Wales</t>
  </si>
  <si>
    <t>Kópavogur</t>
  </si>
  <si>
    <t>Kraj Vysočina</t>
  </si>
  <si>
    <t>Gangwon-do</t>
  </si>
  <si>
    <t>Rostov Region</t>
  </si>
  <si>
    <t>TR 52 (Konya Karaman)</t>
  </si>
  <si>
    <t>ISK</t>
  </si>
  <si>
    <t>Occitanie</t>
  </si>
  <si>
    <t>Rheinland-Pfalz</t>
  </si>
  <si>
    <t>Jász-Nagykun-Szolnok</t>
  </si>
  <si>
    <t>Laois</t>
  </si>
  <si>
    <t>MOLISE</t>
  </si>
  <si>
    <t>Zuid Holland</t>
  </si>
  <si>
    <t>Vestfold og Telemark</t>
  </si>
  <si>
    <t>Pomorskie</t>
  </si>
  <si>
    <t>Pohjois-Savo</t>
  </si>
  <si>
    <t>Murcia</t>
  </si>
  <si>
    <t>Scotland</t>
  </si>
  <si>
    <t>Seltjarnarnes</t>
  </si>
  <si>
    <t>Jihomoravský kraj</t>
  </si>
  <si>
    <t>Gwangju</t>
  </si>
  <si>
    <t>Samara Region</t>
  </si>
  <si>
    <t>TR 61 (Antalya Burdur Isparta)</t>
  </si>
  <si>
    <t>Outre mer</t>
  </si>
  <si>
    <t>Saarland</t>
  </si>
  <si>
    <t>Komárom-Esztergom</t>
  </si>
  <si>
    <t>Leitrim</t>
  </si>
  <si>
    <t>PIEMONTE</t>
  </si>
  <si>
    <t>Zeeland</t>
  </si>
  <si>
    <t>Slaskie</t>
  </si>
  <si>
    <t>North Karelia</t>
  </si>
  <si>
    <t>Valencia</t>
  </si>
  <si>
    <t>Northern Ireland</t>
  </si>
  <si>
    <t>Garðabær</t>
  </si>
  <si>
    <t>Olomoucký kraj</t>
  </si>
  <si>
    <t>Gyeongsangbuk-do</t>
  </si>
  <si>
    <t>St. Petersburg</t>
  </si>
  <si>
    <t>TR 62 (Adana Mersin)</t>
  </si>
  <si>
    <t>Pays de la Loire</t>
  </si>
  <si>
    <t>Sachsen</t>
  </si>
  <si>
    <t>Nógrád</t>
  </si>
  <si>
    <t>Limerick</t>
  </si>
  <si>
    <t>PUGLIA</t>
  </si>
  <si>
    <t>Swietokrzyskie</t>
  </si>
  <si>
    <t>Central Finland</t>
  </si>
  <si>
    <t>Extremadura</t>
  </si>
  <si>
    <t>Hafnarfjörður</t>
  </si>
  <si>
    <t>Zlínský kraj</t>
  </si>
  <si>
    <t>Gyeonggi-do</t>
  </si>
  <si>
    <t>Leningrad Region</t>
  </si>
  <si>
    <t>TR 63 (Hatay KahramanmarasOsmaniye)</t>
  </si>
  <si>
    <t>Provence-Alpes-Côte d'Azur</t>
  </si>
  <si>
    <t>Sachsen-Anhalt</t>
  </si>
  <si>
    <t>Pest</t>
  </si>
  <si>
    <t>Longford</t>
  </si>
  <si>
    <t>SARDEGNA</t>
  </si>
  <si>
    <t>Warminsko-Mazurskie</t>
  </si>
  <si>
    <t>South Ostrobothnia</t>
  </si>
  <si>
    <t>Galicia</t>
  </si>
  <si>
    <t>Álftanes</t>
  </si>
  <si>
    <t>Moravskoslezský kraj</t>
  </si>
  <si>
    <t>Gyeongsangnam-do</t>
  </si>
  <si>
    <t>Sverdlovsk Region</t>
  </si>
  <si>
    <t>TR 71 (Nevsehir Nigde Aksaray Kirik</t>
  </si>
  <si>
    <t>NZD</t>
  </si>
  <si>
    <t>No data_France</t>
  </si>
  <si>
    <t>Schleswig-Holstein</t>
  </si>
  <si>
    <t>Somogy</t>
  </si>
  <si>
    <t>Louth</t>
  </si>
  <si>
    <t>SICILIA</t>
  </si>
  <si>
    <t>Wielkopolskie</t>
  </si>
  <si>
    <t>Ostrobothnia</t>
  </si>
  <si>
    <t>La Rioja</t>
  </si>
  <si>
    <t>Mosfellsbær</t>
  </si>
  <si>
    <t>Ulsan</t>
  </si>
  <si>
    <t>Primorsky Territory</t>
  </si>
  <si>
    <t>TR 72 (Kayseri Sivas Yozgat)</t>
  </si>
  <si>
    <t>Thüringen</t>
  </si>
  <si>
    <t>Szabolcs-Szatmár-Bereg</t>
  </si>
  <si>
    <t>Meath</t>
  </si>
  <si>
    <t>TOSCANA</t>
  </si>
  <si>
    <t>Zachodniopomorskie</t>
  </si>
  <si>
    <t>Central Ostrobothnia</t>
  </si>
  <si>
    <t>Navarra</t>
  </si>
  <si>
    <t>UK</t>
  </si>
  <si>
    <t>Northern Seoul</t>
  </si>
  <si>
    <t>Kemerovo Region</t>
  </si>
  <si>
    <t>TR 81 (ZonguldakBartin Karabuk)</t>
  </si>
  <si>
    <t>RON</t>
  </si>
  <si>
    <t>Tolna</t>
  </si>
  <si>
    <t>Monaghan</t>
  </si>
  <si>
    <t>TRENTINO ALTO ADIGE</t>
  </si>
  <si>
    <t>North Ostrobothnia</t>
  </si>
  <si>
    <t>Pais Vasco</t>
  </si>
  <si>
    <t>Southern Seoul</t>
  </si>
  <si>
    <t>Krasnodar Territory</t>
  </si>
  <si>
    <t>TR 82 (Cankiri Kastamonu Sinop)</t>
  </si>
  <si>
    <t>RUB</t>
  </si>
  <si>
    <t>Vas</t>
  </si>
  <si>
    <t>Offaly</t>
  </si>
  <si>
    <t>UMBRIA</t>
  </si>
  <si>
    <t>Kainuu</t>
  </si>
  <si>
    <t>Republic of Bashkortostan</t>
  </si>
  <si>
    <t>TR 83 (Samsun Corum Amasya Tokat)</t>
  </si>
  <si>
    <t>Veszprém</t>
  </si>
  <si>
    <t>Roscommon</t>
  </si>
  <si>
    <t>UNKNOWN</t>
  </si>
  <si>
    <t>Lapland</t>
  </si>
  <si>
    <t>Tyumen Region</t>
  </si>
  <si>
    <t>TR 90 (Artvin Giresun Gumushane Ord</t>
  </si>
  <si>
    <t>Zala</t>
  </si>
  <si>
    <t>Sligo</t>
  </si>
  <si>
    <t>VALLE D'AOSTA</t>
  </si>
  <si>
    <t>Krasnoyarsk Territory</t>
  </si>
  <si>
    <t>TR A1 A2</t>
  </si>
  <si>
    <t>TRY</t>
  </si>
  <si>
    <t>Tipperary</t>
  </si>
  <si>
    <t>VENETO</t>
  </si>
  <si>
    <t>Stavropol Territory</t>
  </si>
  <si>
    <t>TR B1 B2</t>
  </si>
  <si>
    <t>ZAR</t>
  </si>
  <si>
    <t>Waterford</t>
  </si>
  <si>
    <t>TR C1  C2 C3</t>
  </si>
  <si>
    <t>Westmeath</t>
  </si>
  <si>
    <t>Wexford</t>
  </si>
  <si>
    <t>Wicklow</t>
  </si>
  <si>
    <t>Russia</t>
  </si>
  <si>
    <t>Turkey</t>
  </si>
  <si>
    <t>Residential mortgages</t>
  </si>
  <si>
    <t>Commercial mortgages</t>
  </si>
  <si>
    <t>None</t>
  </si>
  <si>
    <t>Libor - 1m</t>
  </si>
  <si>
    <t>Libor - 3m</t>
  </si>
  <si>
    <t>Libor - 6m</t>
  </si>
  <si>
    <t>Libor - 12m</t>
  </si>
  <si>
    <t>Euribor - 1m</t>
  </si>
  <si>
    <t>Euribor - 3m</t>
  </si>
  <si>
    <t>Euribor - 6m</t>
  </si>
  <si>
    <t>Euribor - 12m</t>
  </si>
  <si>
    <t>Green bond</t>
  </si>
  <si>
    <t>Social bond</t>
  </si>
  <si>
    <t>Spanish</t>
  </si>
  <si>
    <t>Sustainable bond</t>
  </si>
  <si>
    <t>Other label bond</t>
  </si>
  <si>
    <t>Aaa</t>
  </si>
  <si>
    <t>Aa1</t>
  </si>
  <si>
    <t>Aa2</t>
  </si>
  <si>
    <t>Aa3</t>
  </si>
  <si>
    <t>A1</t>
  </si>
  <si>
    <t>A2</t>
  </si>
  <si>
    <t>A3</t>
  </si>
  <si>
    <t>Baa1</t>
  </si>
  <si>
    <t>Baa2</t>
  </si>
  <si>
    <t>Baa3</t>
  </si>
  <si>
    <t>Ba1</t>
  </si>
  <si>
    <t>Ba2</t>
  </si>
  <si>
    <t>Ba3</t>
  </si>
  <si>
    <t>B1</t>
  </si>
  <si>
    <t>B2</t>
  </si>
  <si>
    <t>B3</t>
  </si>
  <si>
    <t>Caa1</t>
  </si>
  <si>
    <t>Caa2</t>
  </si>
  <si>
    <t>Caa3</t>
  </si>
  <si>
    <t>for residential</t>
  </si>
  <si>
    <t>Total_Cyprus</t>
  </si>
  <si>
    <t>Non-Dublin</t>
  </si>
  <si>
    <t>No data_Cyprus</t>
  </si>
  <si>
    <t>No data_Ireland</t>
  </si>
  <si>
    <t>No data_Estonia</t>
  </si>
  <si>
    <t>No data_Latvia</t>
  </si>
  <si>
    <t>No data_Lithuania</t>
  </si>
  <si>
    <t>No data_Slovakia</t>
  </si>
  <si>
    <t>No data_Romania</t>
  </si>
  <si>
    <t>No data_Russia</t>
  </si>
  <si>
    <t>No data_Turkey</t>
  </si>
  <si>
    <t>Unknown</t>
  </si>
  <si>
    <t>countries EEA (commercial, PS)</t>
  </si>
  <si>
    <t>Available languages</t>
  </si>
  <si>
    <t>English</t>
  </si>
  <si>
    <t>German</t>
  </si>
  <si>
    <r>
      <t>Confidentiality:</t>
    </r>
    <r>
      <rPr>
        <i/>
        <sz val="10"/>
        <rFont val="Times New Roman"/>
        <family val="1"/>
      </rPr>
      <t xml:space="preserve">
This data template file and all its contents, as well as any information contained therein (together the "Moody's Data Template File and Information"), is confidential to Moody's Investors Service ("Moody's"). No part of Moody's Data Template File and Information may be copied or otherwise reproduced, repackaged, further transmitted, transferred, disseminated, redistributed, or stored for any subsequent use for any such or other purpose, in whole or part, in any form or manner or by any means whatever, by any person without the express written consent of Moody's first being obtained.
If you have received Moody's Data Template File and Information in error, please immediately notify Moody's by telephone, fax or e-mail and delete it.</t>
    </r>
  </si>
  <si>
    <r>
      <t xml:space="preserve">Vertraulichkeit
</t>
    </r>
    <r>
      <rPr>
        <i/>
        <sz val="10"/>
        <rFont val="Times New Roman"/>
        <family val="1"/>
      </rPr>
      <t>Diese Datenvorlage, ihr Inhalt und alle in ihr enthaltenen Informationen (zusammen: „Moody’s-Datenvorlage und Informationen“) sind vertrauliches Eigentum von Moody’s Investors Service („Moody’s“). Die Moody’s-Datenvorlage und die Informationen dürfen ohne ausdrückliche, vorherige und schriftliche Zustimmung von Moody’s weder ganz noch in Teilen kopiert oder in sonstiger Weise reproduziert, umgewandelt, weitergegeben, übertragen, bekannt gegeben, verteilt oder zur weiteren Verwendung gespeichert werden, gleichgültig, zu welchem Zweck, in welcher Art und Weise oder mit welchen Hilfsmitteln.
Wenn Sie die Moody’s-Datenvorlage und die Informationen irrtümlich erhalten haben, setzen Sie Moody’s unverzüglich telefonisch, per Fax oder per E-Mail davon in Kenntnis und löschen Sie die Datei.</t>
    </r>
  </si>
  <si>
    <r>
      <t>Confidencialidad:</t>
    </r>
    <r>
      <rPr>
        <b/>
        <i/>
        <sz val="12"/>
        <rFont val="Times New Roman"/>
        <family val="1"/>
      </rPr>
      <t xml:space="preserve"> 
</t>
    </r>
    <r>
      <rPr>
        <i/>
        <sz val="12"/>
        <rFont val="Times New Roman"/>
        <family val="1"/>
      </rPr>
      <t>Este soporte electrónico y sus contenidos, así como la información incluida en él ("Fichero e Información de Moody's") es propiedad e información confidencial de Moody's Investors Service ("Moody's"). No esta permitida la copia, reproducción, o almacenaje en cualquier soporte, así como la transmisión o distribución  parcial o total de el "Fichero e Información de Moody's" indistintamente de su propósito sin el previo consentimiento escrito de Moody's. Si Vd. ha recibido el "Fichero e Información de Moody's" por error, por favor notifíquelo inmediatamente a Moody's por teléfono, fax o e-mail y proceda a su destrucción.</t>
    </r>
  </si>
  <si>
    <t>Name of Issuer:</t>
  </si>
  <si>
    <t>Name des Emittenten:</t>
  </si>
  <si>
    <t>Nombre del Emisor:</t>
  </si>
  <si>
    <t>REPORT DATE:</t>
  </si>
  <si>
    <t>BERICHTSDATUM:</t>
  </si>
  <si>
    <t>FECHA DEL INFORME:</t>
  </si>
  <si>
    <t xml:space="preserve">FREQUENCY OF REPORTING </t>
  </si>
  <si>
    <t>BERICHTSTURNUS:</t>
  </si>
  <si>
    <t>FRECUENCIA DEL INFORME</t>
  </si>
  <si>
    <t>If Other, please specify agreed frequency of reporting here</t>
  </si>
  <si>
    <t>Falls "Sonstiges", bitte geben Sie die vereinbarte Häufigkeit der Berichterstattung an.</t>
  </si>
  <si>
    <t>Si Otro, por favor especificar la frecuencia con la que se reporta la información.</t>
  </si>
  <si>
    <t>Version of the Template</t>
  </si>
  <si>
    <t>Version der Vorlage:</t>
  </si>
  <si>
    <t xml:space="preserve">Versión del Fichero </t>
  </si>
  <si>
    <t>Introduction:</t>
  </si>
  <si>
    <t>Einleitung:</t>
  </si>
  <si>
    <t>Introducción</t>
  </si>
  <si>
    <t>-This data template should not be regarded as a requirement-list. The template is a set of guidelines to assist with the data input for your Covered Bond issuance and/or programme.</t>
  </si>
  <si>
    <t>-Diese Vorlage ist nicht als vollständige Auflistung aller erforderlichen Daten zu verstehen. Sie dient lediglich als Richtlinie, die Sie bei der Eingabe der Daten für die Begebung Ihrer Pfandbriefe bzw. Ihres Programms für Gedeckte Schuldverschreibungen unterstützen soll.</t>
  </si>
  <si>
    <t>- No se debe considerar este fichero como una lista obligatoria de todos los datos requeridos. Este fichero sirve como guía maestra para asistir en el análisis de su emisión o programa de Cédulas.</t>
  </si>
  <si>
    <t>- This template will not be regarded as stand-alone and Moody’s expects to conduct an operational review to further understand the data and the Assets in the cover pool.</t>
  </si>
  <si>
    <t>- Diese Vorlage allein ist nicht ausreichend; Moody's führt weitere Analysen und ein sog. "Operational Review" durch, um ein weitreichendes Verständnis des Pfandbriefprogramms zu gewährleisten.</t>
  </si>
  <si>
    <t>- La introducción de los datos en el fichero no se debe considerar como el único requisito de de información de Moody's. Moody's espera llevar a cabo una revisión operacional del emisor que profundice en la comprensión de la información y activos de la cartera subyacente</t>
  </si>
  <si>
    <t xml:space="preserve"> </t>
  </si>
  <si>
    <t>-For residential and commercial assets, the data for assets located in different countries should be entered onto different worksheets. Further, if loans in more than one currency are made on assets located in a single country, information should be entered separately onto different pages (for that purpose, please create copies of the relevant worksheet). However, where information is provided on a loan by loan (or property by property) basis all data should be entered onto a single worksheet (regardless of whether the assets are located in more than one country). If commercial or residential assets are located in more than 5 countries contact Moody's. See also MULTI-COUNTRY ASSETS.</t>
  </si>
  <si>
    <t>- Informationen für WOHNIMMOBILIEN-KREDITE oder GEWERBLICHE IMMOBILIENKREDITE, die in verschiedenen Ländern generiert wurden, bitte in separaten Tabellenblättern eingeben. (Falls Daten nicht auf Einzelkreditbasis angegeben werden). 
Wenn Kredite in verschiedenen Währungen für eine Immobilie in einem Land gewährt wurden, sollte für jedes Land ein separates Tabellenblatt genutzt werden (falls die Information nicht auf Einzelkreditbasis bereitgestellt wird). 
Im Falle von mehr als 5 Ländern kontaktieren Sie Moody's. 
Informationen auf Einzelkreditbasis werden benötigt, wenn GEWERBLICHE IMMOBILIENKREDITE mehr als 35% der DECKUNGSMASSE stellen. Vgl. auch VERMÖGENSWERTE IN MEHREREN LÄNDERN.</t>
  </si>
  <si>
    <t xml:space="preserve"> - Los activos hipotecarios residenciales y comerciales deben ser completados en hojas de Excel distintas dependiendo del país en que se encuentren. Si la información se proporciona préstamo a préstamo (o inmueble a inmueble) toda la información de la cartera se debe dar en la misma hoja de excel. Les rogamos que se pongan en contacto con Moody's si las carteras bien comercial, bien residencial se encuentran en más de 5 países. Ver ACTIVOS MULTIJURISDICCIONALES.
Para proporcionar datos sobre la cartera elegible, por favor crear también una hoja distinta.</t>
  </si>
  <si>
    <t>Step-by-step instructions for completion of data template:</t>
  </si>
  <si>
    <t>Anleitung für das Ausfüllen der Vorlage:</t>
  </si>
  <si>
    <t>Instrucciones para completar el fichero:</t>
  </si>
  <si>
    <t>- All data should be as at the REPORT DATE unless otherwise specified.</t>
  </si>
  <si>
    <t>- Alle Daten sollten dem Stand zum BERICHTSDATUM entsprechen, soweit nicht etwas anderes vorgesehen ist.</t>
  </si>
  <si>
    <t xml:space="preserve"> - Todos los datos se deben referir a la misma FECHA DEL INFORME salvo que se especifique lo contrario.</t>
  </si>
  <si>
    <t>- All data should be converted into the currency of the Issuer (or other currency as agreed with Moody's) unless otherwise specified. See CURRENCY CONVERSION in Definitions page for more information.</t>
  </si>
  <si>
    <t>- Alle Daten bitte in die Währung des Emittenten (oder einer anderen, mit Moody's vereinbarten Währung) umrechnen, soweit nicht anders angegeben. Vgl. WÄHRUNGSUMRECHUNG.</t>
  </si>
  <si>
    <t xml:space="preserve"> -Todos los datos se deben convertir a la divisa del emisor (o en otra divisa acordada con Moody's) salvo se especifique lo contrario. er CONVERSIÓN DE DIVISAS en la hoja de "Definitions" para mayor información.</t>
  </si>
  <si>
    <t>- Complete all yellow highlighted fields at the top of Front page.</t>
  </si>
  <si>
    <t>- Bitte alle hellgelb unterlegten Felder im Tabellenblatt "Front Page" ausfüllen.</t>
  </si>
  <si>
    <t>- Completar las celdas en amarillo en la parte superior de la hoja "Front Page".</t>
  </si>
  <si>
    <t>- Press “Initiate Input of Data” button.</t>
  </si>
  <si>
    <t>- Klicken Sie auf "Initiate Input of Data".</t>
  </si>
  <si>
    <t>- Presionar el botón "Initiate Input of Data"</t>
  </si>
  <si>
    <t>- Mark all relevant fields in the “Initiate Input” form.</t>
  </si>
  <si>
    <t>- Kreuzen Sie die für Ihr Programm zutreffenden Felder im Formular "Initiate Input" an.</t>
  </si>
  <si>
    <t>- Marcar todos los campos relevantes en el menú "Initiate Input".</t>
  </si>
  <si>
    <t>- For public sector assets mark this field if these assets are present.</t>
  </si>
  <si>
    <t xml:space="preserve">- Sind Kredite an den Öffentlichen Sektor in der DECKUNGSMASSE, kreuzen Sie bitte das Kontrollkästchen „Public-Sector“ an.  </t>
  </si>
  <si>
    <t>- Para la cartera pública marcar este campo en caso de que este activo esté presente (en el caso español, para Cédulas Territoriales).</t>
  </si>
  <si>
    <t>- After identification of and marking the fields relevant to your issuance and/or programme, press “Initiate” button on the “Initiate Input” form.</t>
  </si>
  <si>
    <t>- Wenn Sie im "Initiate Input"-Formular alle Felder angekreuzt haben, die für Ihre Emission bzw. Ihr Programm von Bedeutung sind, klicken Sie im Formular auf "Start".</t>
  </si>
  <si>
    <t xml:space="preserve"> - Tras identificar y seleccionar los campos relevantes para su emisión y/o programa, presionar el botón "Initiate" en el menú "Initiate Input"</t>
  </si>
  <si>
    <t>- You should now have an Excel file with several pages, each page relating to those fields which have been identified and marked in the “Initiate Input” form.</t>
  </si>
  <si>
    <t>- Ihnen liegt jetzt eine Excel-Datei mit mehreren Tabellenblättern vor, die jeweils den Bereichen entsprechen, die Sie im „Initiate-Input“-Formular angekreuzt haben.</t>
  </si>
  <si>
    <t xml:space="preserve"> - Ahora aparecerán en el Fichero de Excel diversas páginas, cada una relacionada con aquellos campos que marcó en el menú "Initiate Input".</t>
  </si>
  <si>
    <t>- You may navigate through any of the several pages. On each page you will find instructions for completing that part of the template, and on certain pages (residential, commercial, public sector and substitute collateral) also an “Overview Data” table for the ASSET TYPE. On each of the residential and commercial pages there is additionally a “Detail Data Menu” button, which may help you navigate through the data tables on each page.</t>
  </si>
  <si>
    <t xml:space="preserve">- Auf den Tabellenblättern für Wohnimmobilien und gewerblich genutzte Immobilien befindet sich die Schaltfläche "Detail Data Menu", die Ihnen helfen wird, das jeweilige Tabellenblatt Ihren Anforderungen entsprechend einzurichten. </t>
  </si>
  <si>
    <t>- Puede moverse libremente entre las hojas generadas. En cada hoja encontrará las instrucciones necesarias para completar la información solicitada, y en ciertas hojas (residential, commercial, public sector y substitute collateral) también una tabla a rellenar con "Resumen de Información". En las hojas de la cartera hipotecaria residencial y comercial encontrará un botón adicional "Detail Data Menu", que le ayudará a moverse dentro de la hoja en que se encuentre.</t>
  </si>
  <si>
    <t>- When input is taking place using the “Mass Data Input” option on the Front Page, all data tables from all pages will be displayed, and "Detail Data Menu" should be ignored.</t>
  </si>
  <si>
    <t>- Durch einen Klick auf die Schaltfläche „Mass Data Input“ auf der Titelseite werden sämtliche Eingabe-Tabellen auf allen Tabellenblättern angezeigt.</t>
  </si>
  <si>
    <t>- Si la introducción de datos se realiza utilizando la opción de "Mass Data Input", todos las tablas de todas las hojas se mostrarán, pudiéndose ignorar la opción "Detail Data Menu".</t>
  </si>
  <si>
    <t>Further steps:</t>
  </si>
  <si>
    <t>Weitere Hinweise:</t>
  </si>
  <si>
    <t>Otros pasos a seguir:</t>
  </si>
  <si>
    <t>- For further detailed instructions as well as definitions for various parts of the Excel file, see the Definitions page which next follows this page.</t>
  </si>
  <si>
    <t>- Si requiere de instrucciones más detalladas, así como las definiciones de diversos términos en las distintas partes del fichero Excel, vea la hoja "Definitions" que sigue a esta hoja.</t>
  </si>
  <si>
    <t>- Most defined expressions in the Excel file are in capitals. The Definitions for these (and other common terms which are not in capitals but also defined) are found on the Definitions page.</t>
  </si>
  <si>
    <t>- Begriffe in GROSSBUCHSTABEN sind im Tabellenblatt "Definitions" näher erläutert.</t>
  </si>
  <si>
    <t>- La mayoría de los términos en el fichero Excel se encuentran en mayúsculas. Sus definiciones (así como otros términos que no se encuentran en mayúsculas pero que se definen) se encuentran en la hoja "Definitions".</t>
  </si>
  <si>
    <t>- For residential assets mark the relevant field based on both type of asset and number of countries in which the assets are located. For example, if residential assets are located in 2 different countries,  mark the box next to Residential Mortgages located in 2 countries. Two residential worksheets will then be generated.</t>
  </si>
  <si>
    <t>- Para activos hipotecarios residenciales marcar el campo adecuado dependiendo del tipo de activo y del número de países donde se encuentra el activo. Por ejemplo, si los activos residenciales han sido originados en dos países distintos, seleccionar la opción "Cartera residencial en dos países". Posteriormente, se generarán dos hojas de excel para datos residenciales.</t>
  </si>
  <si>
    <t>- For commercial assets mark the relevant field. This is as per residential assets where commercial assets make up less than 35% of the value of the Cover Pool. However, mark the field next to Commercial LbyL where more than 35% of the value of the Cover Pool is made up of commercial assets.</t>
  </si>
  <si>
    <t>- Für GEWERBLICHE IMMOBILIENKREDITE das entsprechende Feld auswählen. Falls GEWERBLICHE IMMOBILIENKREDITE mehr als 35% der DECKUNGSMASSE ausmachen, bitte Daten auf Einzelkreditbasis bereitstellen.</t>
  </si>
  <si>
    <t>-  Para activos hipotecarios comerciales marcar el campo adecuado. el procedimiento es análogo al efectuado con activos residenciales, siempre y cuando el porcentaje de activos comerciales no supere el 35% del total de la cartera hipotecaria. En caso contrario marcar el campo correspondiente a "Comercial préstamo a préstamo".</t>
  </si>
  <si>
    <t>- This Input Template does not cover all possibilities. Where there is doubt that the template allows a particular risk to be accurately captured, discuss with Moody's.</t>
  </si>
  <si>
    <t xml:space="preserve">- Diese Vorlage kann nicht alle Möglichkeiten abdecken. Bitte kontaktieren Sie Moody's, wenn Zweifel bestehen, dass bestimmte Risiken in dieser Vorlage nicht korrekt erfasst werden. </t>
  </si>
  <si>
    <t>- Este Fichero no pretende cubrir todas las posibilidades. En caso de que se dude sobre la adecuación del presente fichero a la hora de reflejar un riesgo paryicular, se ruega que se pongan en contacto con Moody's.</t>
  </si>
  <si>
    <t>- Please conform with all formatting instructions (and embedded in-cell formatting, e.g in % or in bps).</t>
  </si>
  <si>
    <t>- Bitte beachten Sie das gewünschte Datenformat (z.B. in % oder in Monaten) und behalten Sie die voreingestellte Formatierung der Zellen bei.</t>
  </si>
  <si>
    <t>- Por favor utilice los formatos como es  especificado en las instrucciones ó en las celdas (por ejemplo si la información se pide en % o en bps).</t>
  </si>
  <si>
    <t>Definition Page</t>
  </si>
  <si>
    <t>Página de Definición</t>
  </si>
  <si>
    <t>INTEREST RATE TYPE</t>
  </si>
  <si>
    <t>ZINSTYP</t>
  </si>
  <si>
    <t>CLASE DE TIPO DE INTERÉS</t>
  </si>
  <si>
    <t>Interest rate where fixed rate</t>
  </si>
  <si>
    <t>Fester Zinssatz</t>
  </si>
  <si>
    <t>Tipo de interés si es a tipo fijo</t>
  </si>
  <si>
    <t>Interest margin where floating rate</t>
  </si>
  <si>
    <t>Zinsmarge bei variabler Verzinsung</t>
  </si>
  <si>
    <t>Margen si es a tipo variable</t>
  </si>
  <si>
    <t>BASIS over which interest margin is calculated</t>
  </si>
  <si>
    <t>BASISZINS für die Berechnung der Zinsmarge</t>
  </si>
  <si>
    <t>ÍNDICE BASE de referencia sobre el que se calcula el Margen</t>
  </si>
  <si>
    <t>Covered Bond Programme Overview</t>
  </si>
  <si>
    <t>Programmüberblick</t>
  </si>
  <si>
    <t>RESUMEN DEL PROGRAMA DE CÉDULAS</t>
  </si>
  <si>
    <t>Total - outstanding Covered Bonds:</t>
  </si>
  <si>
    <t>Gesamtbetrag Ausstehender Gedeckter Schuldverschreibungen:</t>
  </si>
  <si>
    <t>Saldo Vivo de Cédulas:</t>
  </si>
  <si>
    <t>I. Total - Nominal LOAN BALANCE of COVER POOL:</t>
  </si>
  <si>
    <t>I. Gesamtbetrag - Nominaler KREDITSALDO der DECKUNGSMASSE:</t>
  </si>
  <si>
    <t>I. Total - SALDO VIVO DE PRÉSTAMOS de la CARTERA SUBYACENTE:</t>
  </si>
  <si>
    <t>I.1.Total - residential LOAN BALANCE:</t>
  </si>
  <si>
    <t>I.1.Gesamtbetrag - KREDITSALDO für Wohnimmobilien:</t>
  </si>
  <si>
    <t>I.1.Total - SALDO VIVO DE PRÉSTAMOS residenciales:</t>
  </si>
  <si>
    <t>I.2.Total - commercial LOAN BALANCE:</t>
  </si>
  <si>
    <t>I.2.Gesamtbetrag - KREDITSALDO für gewerblich genutzte Immobilien:</t>
  </si>
  <si>
    <t>I.2.Total - SALDO VIVO DE PRÉSTAMOS comerciales:</t>
  </si>
  <si>
    <t>I.3.Total - public sector LOAN BALANCE:</t>
  </si>
  <si>
    <t>I.3.Gesamtbetrag - KREDITSALDO für den öffentlichen Sektor:</t>
  </si>
  <si>
    <t>I.3.Total - SALDO VIVO DE PRÉSTAMOS al sector público:</t>
  </si>
  <si>
    <t>I.4. Total - Nominal substitute collateral:</t>
  </si>
  <si>
    <t>I.4. Gesamtbetrag - Nominalwert der Ersatzsicherheiten:</t>
  </si>
  <si>
    <t>I.4. Total - SALDO VIVO de la cartera elegible :</t>
  </si>
  <si>
    <t>Scheduled balance of Covered Bond issues in next quarter (using DEFAULT CURRENCY - see also CURRENCY CONVERSION):</t>
  </si>
  <si>
    <t>Vorgesehener Betrag von Emissionen Gedeckter Schuldverschreibungen im nächsten Quartal (STANDARDWÄHRUNG - vgl. auch WÄHRUNGSUMRECHUNG):</t>
  </si>
  <si>
    <t>Volumen previsto de emisión de Cédulas en el próximo trimestre (usando la DIVISA ESTÁNDAR - ver CONVERSIÓN DE DIVISAS):</t>
  </si>
  <si>
    <t>Bond by Bond Information</t>
  </si>
  <si>
    <t>Daten zu den einzelnen Schuldverschreibungen</t>
  </si>
  <si>
    <t>Información por emisión de Cédulas</t>
  </si>
  <si>
    <t>ISIN</t>
  </si>
  <si>
    <t>--</t>
  </si>
  <si>
    <t>Currency</t>
  </si>
  <si>
    <t>Währung</t>
  </si>
  <si>
    <t>Divisa</t>
  </si>
  <si>
    <t>Current balance in currency of issued Covered Bond</t>
  </si>
  <si>
    <t>Laufender Saldo in der Währung der emittierten Gedeckten Schuldverschreibung</t>
  </si>
  <si>
    <t>Saldo Vivo en la divisa en que se emitió la Cédulas</t>
  </si>
  <si>
    <t>Current balance (in DEFAULT CURRENCY)</t>
  </si>
  <si>
    <t>Laufender Saldo (in STANDARDWÄHRUNG)</t>
  </si>
  <si>
    <t>Saldo Vivo (en DIVISA ESTÁNDAR)</t>
  </si>
  <si>
    <t>Expected maturity date (dd/mm/yyyy)</t>
  </si>
  <si>
    <t>Erwartetes Fälligkeitsdatum (TT/MM/JJJJ)</t>
  </si>
  <si>
    <t>Fecha de vencimiento esperado (dd/mm/aaaa)</t>
  </si>
  <si>
    <t>Legal final (or "extended" maturity date, dd/mm/yyyy )</t>
  </si>
  <si>
    <t>Rechtliche Endfälligkeit (oder verlängerte Fälligkeit, TT/MM/JJJJ))</t>
  </si>
  <si>
    <t>Fecha de vencimiento legal (o vencimiento "extendido", dd/mm/aaaa )</t>
  </si>
  <si>
    <t>Next Interest Payment Date (dd/mm/yyyy)</t>
  </si>
  <si>
    <t>Nächste Zins- oder Kuponzahlung auf Covered Bonds (TT/MM/JJJJ)</t>
  </si>
  <si>
    <t>Fecha del próximo pago de intereses (dd/mm/aaaa)</t>
  </si>
  <si>
    <t>NIPD as first IPD following the REPORT DATE.</t>
  </si>
  <si>
    <t>Datum der nächsten Zinszahlung ist das Datum der ersten Zinszahlung nach dem BERICHTSDATUM.</t>
  </si>
  <si>
    <t>Próxima fecha tras la FECHA DEL INFORME</t>
  </si>
  <si>
    <t>Next Principal Payment Date (dd/mm/yyyy)</t>
  </si>
  <si>
    <t xml:space="preserve"> Nächste Tilgungszahlung auf Covered Bonds (TT/MM/JJJJ)</t>
  </si>
  <si>
    <t>Fecha del Próximo Pago de Principal (dd/mm/aaaa)</t>
  </si>
  <si>
    <t>NPPD as first PPD following the REPORT DATE.</t>
  </si>
  <si>
    <t>Datum der nächsten Tilgungszahlung ist das Datum der ersten Tilgungszahlung nach dem BERICHTSDATUM.</t>
  </si>
  <si>
    <t>Interest payment frequency</t>
  </si>
  <si>
    <t>Häufigkeit der Zinszahlungen</t>
  </si>
  <si>
    <t>Frecuencia de pago de intereses</t>
  </si>
  <si>
    <t>Principal payment frequency</t>
  </si>
  <si>
    <t>Häufigkeit der Tilgungszahlungen</t>
  </si>
  <si>
    <t>Frecuencia de pago de principal</t>
  </si>
  <si>
    <t>Principal redemption type</t>
  </si>
  <si>
    <t>Art der Tilgung</t>
  </si>
  <si>
    <t>Tipo de amortización de principal</t>
  </si>
  <si>
    <t>Over-Collateralisation (OC)</t>
  </si>
  <si>
    <t>Überbesicherung</t>
  </si>
  <si>
    <t>Sobre-Colateralización (OC)</t>
  </si>
  <si>
    <t>In terms of BASIC OC</t>
  </si>
  <si>
    <t>GRUNDLEGENDE ÜBERBESICHERUNG</t>
  </si>
  <si>
    <t>En términos de OC BÁSICA</t>
  </si>
  <si>
    <t>Form of BASIC OC 1: NOMINAL OC or NPV OC</t>
  </si>
  <si>
    <t>Form der GRUNDLEGENDEN ÜBERBESICHERUNG 1: NOMINALE ÜBERBESICHERUNG oder barwertige ÜBERBESICHERUNG</t>
  </si>
  <si>
    <t>Forma de OC BÁSICA 1: OC NOMINAL u OC NPV</t>
  </si>
  <si>
    <t>Form of BASIC OC 2: Eligible Only OC or Ineligible Included OC</t>
  </si>
  <si>
    <t>Form der GRUNDLEGENDEN ÜBERBESICHERUNG 2: Nur zugelasenes oder nicht zugelasenes enthaltenes OC</t>
  </si>
  <si>
    <t>Forma de OC BÁSICA 2: OC ELEGIBLE o Incluyendo OC Elegible</t>
  </si>
  <si>
    <t>In terms of ADDITIONAL OC for specific legal risks</t>
  </si>
  <si>
    <t>-</t>
  </si>
  <si>
    <t>En términos de OC ADICIONAL para riesgos legales específicos</t>
  </si>
  <si>
    <t>In terms of ADDITIONAL OC for reinvestment risk</t>
  </si>
  <si>
    <t>En términos de OC ADICIONAL para riesgos de reinversión</t>
  </si>
  <si>
    <t xml:space="preserve">Form of ADDITIONAL OC </t>
  </si>
  <si>
    <t>Forma de OC ADICIONAL</t>
  </si>
  <si>
    <t>Total OC</t>
  </si>
  <si>
    <t>Gesamte ÜBERBESICHERUNG</t>
  </si>
  <si>
    <t>OC Total</t>
  </si>
  <si>
    <t>OC required by Covered Bond framework</t>
  </si>
  <si>
    <t>gesetzlich vorgeschriebene ÜBERBESICHERUNG</t>
  </si>
  <si>
    <t>OC requerido por la legislación aplicable a las Cédulas</t>
  </si>
  <si>
    <t>OC required by terms and conditions of the bonds</t>
  </si>
  <si>
    <t>vertragliche ÜBERBESICHERUNG</t>
  </si>
  <si>
    <t>OC requerido por los términos y condiciones de las Cédulas</t>
  </si>
  <si>
    <t>TARGET OC AGREED WITH MOODY'S</t>
  </si>
  <si>
    <t>MIT MOODY'S VEREINBARTE, ANGESTREBTE ÜBERBESICHERUNG</t>
  </si>
  <si>
    <t>OC MÍNIMO ACORDADO CON MOODY'S</t>
  </si>
  <si>
    <t>ADDITIONAL OC for reinvestment risk</t>
  </si>
  <si>
    <t>NOMINAL OC currently in COVER POOL based on ELIGIBLE ONLY</t>
  </si>
  <si>
    <t>NOMINALE ÜBERBESICHERUNG in der DECKUNGSMASSE auf der Grundlage der DECKUNGSSTOCKFÄHIGEN ÜBERBESICHERUNG</t>
  </si>
  <si>
    <t>OC NOMINAL actual en la CARTERA SUBYACENTE basado en ACTIVOS ELEGIBLES</t>
  </si>
  <si>
    <t>NOMINAL OC currently in COVER POOL based on all Assets (i.e. with INELIGIBLE INCLUDED)</t>
  </si>
  <si>
    <t>NOMINALE ÜBERBESICHERUNG in der DECKUNGSMASSE auf der Grundlage der allen Assets (i.e. mit nicht deckungsstockfähig)</t>
  </si>
  <si>
    <t>OC NOMINAL actual en la CARTERA SUBYACENTE basado en TODOS LOS ACTIVOS (incluyendo la CARTERA NO ELEGIBLE)</t>
  </si>
  <si>
    <t>ASSET AND LIABILITY DATA (FOR ALL ISSUERS)</t>
  </si>
  <si>
    <t>VERMÖGENSWERTE UND VERBINDLICHKEITEN (FÜR ALLE EMITTENTEN)</t>
  </si>
  <si>
    <t>INFORMACIÓN DE ACTIVOS Y PASIVOS (PARA TODOS LOS EMISORES)</t>
  </si>
  <si>
    <t>Nominal measures</t>
  </si>
  <si>
    <t>Nominal gemessen</t>
  </si>
  <si>
    <t>En términos nominales</t>
  </si>
  <si>
    <t>Nominal value of COVER POOL (including substitute collateral)</t>
  </si>
  <si>
    <t>Nominalwert der DECKUNGSMASSE (einschließlich Ersatzsicherheiten)</t>
  </si>
  <si>
    <t>Valor nominal de la CARTERA SUBYACENTE (incluyendo toda la cartera)</t>
  </si>
  <si>
    <t>Nominal value of Covered Bonds in issue</t>
  </si>
  <si>
    <t>Nominalwert der emittierten Gedeckten Schuldverschreibungen</t>
  </si>
  <si>
    <t>Valor nominal de las Cédulas vivas</t>
  </si>
  <si>
    <t>NPV CALCULATIONS</t>
  </si>
  <si>
    <t>BERECHNUNG DES BARWERTS</t>
  </si>
  <si>
    <t>CÓMPUTO DE NPV</t>
  </si>
  <si>
    <t>NPV of COVER POOL (actual)</t>
  </si>
  <si>
    <t>Barwert der DECKUNGSMASSE (tatsächlicher Wert)</t>
  </si>
  <si>
    <t>NPV de la CARTERA SUBYACENTE (actual)</t>
  </si>
  <si>
    <t>NPV of Covered Bonds (actual)</t>
  </si>
  <si>
    <t>Barwert der Gedeckten Schuldverschreibungen (tatsächlicher Wert)</t>
  </si>
  <si>
    <t>NPV de las Cédulas (actual)</t>
  </si>
  <si>
    <t>NPV of COVER POOL STRESS 1</t>
  </si>
  <si>
    <t>Barwert der DECKUNGSMASSE (STRESS 1)</t>
  </si>
  <si>
    <t>NPV de la CARTERA SUBYACENTE STRESS 1</t>
  </si>
  <si>
    <t>NPV of COVER POOL STRESS 2</t>
  </si>
  <si>
    <t>Barwert der DECKUNGSMASSE (STRESS 2)</t>
  </si>
  <si>
    <t>NPV de la CARTERA SUBYACENTE STRESS 2</t>
  </si>
  <si>
    <t>NPV of COVER POOL STRESS 3</t>
  </si>
  <si>
    <t>Barwert der DECKUNGSMASSE (STRESS 3)</t>
  </si>
  <si>
    <t>NPV de la CARTERA SUBYACENTE STRESS 3</t>
  </si>
  <si>
    <t>NPV of COVER POOL STRESS 4</t>
  </si>
  <si>
    <t>Barwert der DECKUNGSMASSE (STRESS 4)</t>
  </si>
  <si>
    <t>NPV de la CARTERA SUBYACENTE STRESS 4</t>
  </si>
  <si>
    <t>NPV of Covered Bonds STRESS 1</t>
  </si>
  <si>
    <t>Barwert der Gedeckten Schuldverschreibungen (STRESS 1)</t>
  </si>
  <si>
    <t>NPV de las Cédulas STRESS 1</t>
  </si>
  <si>
    <t>NPV of Covered Bonds STRESS 2</t>
  </si>
  <si>
    <t>Barwert der Gedeckten Schuldverschreibungen (STRESS 2)</t>
  </si>
  <si>
    <t>NPV de las Cédulas STRESS 2</t>
  </si>
  <si>
    <t>NPV of Covered Bonds STRESS 3 for pass through (non-bullet) bonds only</t>
  </si>
  <si>
    <t>Barwert der Gedeckten Schuldverschreibungen (STRESS 3), nur bei pass-through Schuldverschreibungen (nicht endfällig)</t>
  </si>
  <si>
    <t>NPV de las Cédulas STRESS 3</t>
  </si>
  <si>
    <t>NPV of Covered Bonds STRESS 4 for pass through (non-bullet) bonds only</t>
  </si>
  <si>
    <t>Barwert der Gedeckten Schuldverschreibungen (STRESS 4), nur bei pass-through Schuldverschreibungen (nicht endfällig)</t>
  </si>
  <si>
    <t>NPV de las Cédulas STRESS 4</t>
  </si>
  <si>
    <t>DETAILS ON NPV CALCULATIONS IMPOSED BY LEGISLATION (FOR ISSUERS WHO HAVE AN NPV TEST IMPOSED BY LEGISLATION)</t>
  </si>
  <si>
    <t>DETAILS DER GESETZLICH VORGESCHRIEBENEN BARWERTBERECHNUNG (BEI EMITTENTEN, BEI DENEN EIN BARWERTTEST GESETZLICH VORGESCHRIEBEN IST)</t>
  </si>
  <si>
    <t>DETALLE DEL CÓMPUTO DE NPV IMPUESTO POR LA LEGISLACIÓN (EN AQUELLAS LEGISLACIONES QUE ASÍ LO RECOGEN)</t>
  </si>
  <si>
    <t>- NPV of COVER POOL</t>
  </si>
  <si>
    <t>- Barwert der DECKUNGSMASSE</t>
  </si>
  <si>
    <t>- NPV de la CARTERA SUBYACENTE</t>
  </si>
  <si>
    <t>- NPV of Covered Bonds in issue</t>
  </si>
  <si>
    <t xml:space="preserve">- Barwert der Gedeckten Schuldverschreibungen </t>
  </si>
  <si>
    <t>- NPV de las Cédulas</t>
  </si>
  <si>
    <t>Assumptions used in NPV calculation:</t>
  </si>
  <si>
    <t>Annahmen für die Berechnung des Barwerts:</t>
  </si>
  <si>
    <t>Hipótesis utilizadas en el cómputo del NPV</t>
  </si>
  <si>
    <t>- Reference curves used for NPV calculations</t>
  </si>
  <si>
    <t>- Referenzkurven für die Berechnung des Barwerts</t>
  </si>
  <si>
    <t>- Curvas de tipos usadas en el cómputo del NPV</t>
  </si>
  <si>
    <t>- Type of stress adopted for NPV calculation</t>
  </si>
  <si>
    <t>- Typ des für die Berechnung des Barwerts verwendeten Stresses</t>
  </si>
  <si>
    <t>-Tipo de stress usado en el cómputo de NPV</t>
  </si>
  <si>
    <t>- What PREPAYMENT level was assumed for the COVER POOL in this calculation</t>
  </si>
  <si>
    <t>- Annahmen zu VORZEITIGEN ZAHLUNGEN auf die DECKUNGSMASSE in dieser Berechnung</t>
  </si>
  <si>
    <t>-¿Qué tipo de PREPAGO se ha asumido para la CARTERA SUBYACENTE en este cálculo?</t>
  </si>
  <si>
    <t>- If PREPAYMENT level used was not zero, what rate of PREPAYMENT on the COVER POOL was used? (if more than one specify different rates for different products)</t>
  </si>
  <si>
    <t>- Wenn die angenommene VORAUSZAHLUNG nicht bei Null lag, welcher VORAUSZAHLUNGssatz auf die DECKUNGSMASSE wurde angenommen? (geben Sie gegebenenfalls die unterschiedlichen Sätze für unterschiedliche Produkte an)</t>
  </si>
  <si>
    <t>-Si el nivel de PREPAGO no fue cero, qué nivel de PREPAGO de la CARTERA SUBYACENTE se utilizó? (si fue más de uno especificar los distintos niveles para los diversos tipos de productos)</t>
  </si>
  <si>
    <t>Residential Data Template</t>
  </si>
  <si>
    <t>Datenvorlage WOHNIMMOBILIEN-KREDITE</t>
  </si>
  <si>
    <t>INFORMACIÓN CARTERA RESIDENCIAL</t>
  </si>
  <si>
    <t>Overview Data</t>
  </si>
  <si>
    <t>Datenüberblick</t>
  </si>
  <si>
    <t>Resumen de Información</t>
  </si>
  <si>
    <t>País</t>
  </si>
  <si>
    <t>Total LOAN BALANCE:</t>
  </si>
  <si>
    <t>Gesamter KREDITSALDO:</t>
  </si>
  <si>
    <t>Total SALDO VIVO DE PRÉSTAMOS:</t>
  </si>
  <si>
    <t>Average LOAN BALANCE:</t>
  </si>
  <si>
    <t>DURCHSCHNITTLICHER KREDITSALDO</t>
  </si>
  <si>
    <t>MEDIA PONDERADA del SALDO VIVO</t>
  </si>
  <si>
    <t>WA SEASONING (in months):</t>
  </si>
  <si>
    <t>Gewichtete durchschn. BISHERIGE LAUFZEIT (in Monaten):</t>
  </si>
  <si>
    <t>ANTIGÜEDAD MEDIA PONDERADA (en meses):</t>
  </si>
  <si>
    <t>WA REMAINING TERM (in months):</t>
  </si>
  <si>
    <t>Gewichtete durchschn. VERBLEIBENDE LAUFZEIT (in Monaten):</t>
  </si>
  <si>
    <t>PLAZO DE VIDA MEDIA PONDERADA (en meses):</t>
  </si>
  <si>
    <t>NO. OF BORROWERS:</t>
  </si>
  <si>
    <t>ZAHL DER KREDITNEHMER:</t>
  </si>
  <si>
    <t>Nº. DE DEUDORES:</t>
  </si>
  <si>
    <t>NO. OF LOANS:</t>
  </si>
  <si>
    <t>ZAHL DER KREDITE:</t>
  </si>
  <si>
    <t>Nº. DE PRÉSTAMOS</t>
  </si>
  <si>
    <t>NO. OF PROPERTIES:</t>
  </si>
  <si>
    <t>ZAHL DER IMMOBILIEN:</t>
  </si>
  <si>
    <t>Nº. DE PROPIEDADES:</t>
  </si>
  <si>
    <t>WA Indexed LTV (LOAN BALANCE / INDEXED valuation) (in %):</t>
  </si>
  <si>
    <t>Gewichtete durchschnittliche indexierte Beleihungsquote (Kreditsaldo / indexierter Wert) (in %):</t>
  </si>
  <si>
    <t>LTV medio ponderado</t>
  </si>
  <si>
    <t>WA LTV (LOAN BALANCE / original valuation) (in %):</t>
  </si>
  <si>
    <t>Gewichtete durchschnittliche Beleihungsquote (Kreditsaldo / ursprünglicher Wert) (in %):</t>
  </si>
  <si>
    <t>LTV MEDIO PONDERADO:</t>
  </si>
  <si>
    <t>WA Interest Rate on Floating rate Loans (in %):</t>
  </si>
  <si>
    <t>Gewichteter Durchschnittszins für variabel verzinsliche Kredite (in %):</t>
  </si>
  <si>
    <t>TIPO DE INTERÉS MEDIO PONDERADO DE Préstamos a tipo variable:</t>
  </si>
  <si>
    <t>WA MARGIN ON FLOATING RATE LOANS (in bps):</t>
  </si>
  <si>
    <t>GEWICHTETE DURCHSCHNITTLICHE MARGE FÜR VARIABEL VERZINSLICHE KREDITE (in bps):</t>
  </si>
  <si>
    <t>MARGEN MEDIO PONDERADO DE Préstamos a tipo variable:</t>
  </si>
  <si>
    <t>WA Interest Rate on Floating rate Loans originated over last quarter prior to the REPORT DATE (in %):</t>
  </si>
  <si>
    <t>Gewichteter Durchschnittszins für variabel verzinsliche Kredite, die im letzten Quartal vor dem BERICHTSDATUM entstanden (in %):</t>
  </si>
  <si>
    <t>MARGEN MEDIO PONDERADO DE Préstamos a tipo variable originados en el trimestre anterior a la FECHA DEL INFORME:</t>
  </si>
  <si>
    <t>Share of LENDER/STANDARD VARIABLE RATE MORTGAGES</t>
  </si>
  <si>
    <t>Anteil der LENDER / STANDARD VARIABLE RATE-Hypotheken</t>
  </si>
  <si>
    <t>WA Interest Rate on Fixed rate Loans (in %):</t>
  </si>
  <si>
    <t>Gewichteter Durchschnittszins für fest verzinsliche Kredite (in %):</t>
  </si>
  <si>
    <t>TIPO DE INTERÉS MEDIO PONDERADO DE Préstamos a tipo fijo:</t>
  </si>
  <si>
    <t>WA MARGIN ON FIXED RATE LOANS (in bps):</t>
  </si>
  <si>
    <t>GEWICHTETE DURCHSCHNITTLICHE MARGE FÜR FESTVERZINSLICHE KREDITE (in bps):</t>
  </si>
  <si>
    <t>MARGEN MEDIO PONDERADO DE Préstamos a tipo fijo:</t>
  </si>
  <si>
    <t>Gewichteter Durchschnittszins für fest verzinsliche Kredite, die im letzten Quartal vor dem BERICHTSDATUM entstanden (in %):</t>
  </si>
  <si>
    <t>WA MARGIN ON FIXED RATE LOANS originated in last quarter prior to the REPORT DATE (in bps):</t>
  </si>
  <si>
    <t>GEWICHTETE DURCHSCHNITTLICHE MARGE FÜR FESTVERZINSLICHE KREDITE, die im letzten Quartal vor dem BERICHTSDATUM entstanden (in bps):</t>
  </si>
  <si>
    <t>MARGEN MEDIO PONDERADO DE Préstamos a tipo fijo en el trimestre anterior a la FECHA DEL INFORME:</t>
  </si>
  <si>
    <t>Instructions:</t>
  </si>
  <si>
    <t>Hinweise:</t>
  </si>
  <si>
    <t>Instrucciones:</t>
  </si>
  <si>
    <t>- MULTIPLE LOANS to the same borrower should be treated as separate loans except for the purpose of LTV calculations (see LOAN BALANCE for more detail). Example: if there are two loans against a property, the first taken for the original purchase and a second made as a further advance (for the purpose of EQUITY RELEASE for instance). Under loan purpose, the first loan should be treated as a purchase and the second as an EQUITY RELEASE.</t>
  </si>
  <si>
    <t>'- MEHRERE DARLEHEN an den gleichen Darlehensnehmer sollten als verschiedene Darlehen betrachtet werden; ausgenommen für die Berechnung der BELEIHUNGSQUOTE (siehe KREDITSALDO). Beispiel: ist eine Immobilie mit zwei Darlehen beliehen, bezieht sich das erste auf den Kauf und das zweite gilt als weitere Auszahlung.</t>
  </si>
  <si>
    <t>- PRÉSTAMOS MÚLTIPLES del mismo deudor se deben tratar como préstamos separados excepto para el cálculo del LTV (ver SALDO VIVO DE PRÉSTAMOS para mayor información). Ejemplo: si existen dos préstamos cubiertos por la misma hipoteca sobre la misma propiedad y el propósito del primero es la adquisición y el del segundo es mayor endeudamiento, al clasificar el propósito del préstamo el primero se debe tratar bajo el epígrafe  "adquisición" y el segundo com "mayor endeudamiento", siendo el LTV asignado el mismo para ambos préstamos.</t>
  </si>
  <si>
    <t>- Press the "detail data menu" button on this page and then select the level of data input detail you wish to provide by checking the relevant options.</t>
  </si>
  <si>
    <t>- Klicken Sie auf die Schaltfläche "Detail Data Menu" auf diesem Tabellenblatt und wählen Sie dann aus den entsprechenden Möglichkeiten aus, wie detailliert Sie die Daten eingeben wollen.</t>
  </si>
  <si>
    <t xml:space="preserve"> Presionar el botón "detail data menu" en esta hoja y seleccionar el nivel de detalle de información que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</si>
  <si>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t>
  </si>
  <si>
    <t xml:space="preserve">- KREDITSALDO bezieht sich auf den gesamten Kreditbetrag. Um die Beleihungsquote eines bestimmten Kredits zu ermitteln, werden alle zudem alle vor-, gleich- und nachrangigen Kreditsalden beruecksichtigt die durch dieselbe Immobilie besichert sind. Dann wird diese Summe durch den Beleihungswert der Immobilie geteilt.   </t>
  </si>
  <si>
    <t>-El SALDO VIVO DE PRÉSTAMOS se refiere al nominal del préstamo hipotecario. En el cómputo del LTV, éste se debe calcular como la ratio del SALDO VIVO DE LOS PRÉSTAMO más todos los préstamos de mayor, igual o menor rango cubiertos por la misma propiedad, dividido por el valor de tasación de dicha propiedad.</t>
  </si>
  <si>
    <t>- The most important category to complete on this page will usually be the LTV Ranges Distribution by unindexed value.</t>
  </si>
  <si>
    <t>- Besonders wichtig in diesem Tabellenblatt ist die Kategorie Verteilung der BELEIHUNGSQUOTEN nach unindexiertem Wert.</t>
  </si>
  <si>
    <t>- La categoría más importante a completar en esta hoja es la Distribución por Rangos de LTV no indiciados.</t>
  </si>
  <si>
    <t>- WA (weighted average) is weighted according to the related LOAN BALANCE.</t>
  </si>
  <si>
    <t>- Bei Gewichtungen bitte nach dem KREDITSALDO gewichten, falls nicht anders angegeben.</t>
  </si>
  <si>
    <t>-La MEDIA PONDERADA se refiere a cualquier ponderación tomando como factor de la misma el SALDO VIVO DE LOS PRÉSTAMOS.</t>
  </si>
  <si>
    <t>- Under each category under the "detail data menu" each Loan should only be accounted for once. If in doubt choose the most relevant sub-category only.</t>
  </si>
  <si>
    <t>- In jeder Kategorie im "Detail Data Menu" ist jeder Kredit nur einmal aufzuführen, im Zweifelsfall  nur in der am besten passenden Unterkategorie.</t>
  </si>
  <si>
    <t>- En cada epígrafe del menú desplegable "detail data menu", cada Préstamo debería contabilizarse una sola vez. En caso de duda sólo elegir la subcategoría más relevante en la que se pudiera clasificar.</t>
  </si>
  <si>
    <t>- Loans related to the same borrower and exceeding 0.5% of the Total LOAN BALANCE across all ASSET TYPES should in addition be included in the "Commercial LbyL" sheet.</t>
  </si>
  <si>
    <t>- Kredite an einen KREDITNEHMER, die mehr als 0.5% des gesamten KREDITSALDOS für alle TYPEN VON VERMÖGENSWERTEN ausmachen, bitte darüber hinaus im Tabellenblatt "Commercial LbyL" angeben.</t>
  </si>
  <si>
    <t>- Los préstamos concedidos al mismo deudor hipotecario y que excedan el 0.5% del SALDO VIVO DE PRÉSTAMOS calculado sobre todas las CLASES DE ACTIVOS deben incluirse además en la hoja de Excel "Commercial LbyL".</t>
  </si>
  <si>
    <t>1a. Unindexed LTV Ranges Distribution</t>
  </si>
  <si>
    <t>1a. Verteilung der unindexierten BELEIHUNGSQUOTEN</t>
  </si>
  <si>
    <t>1a. Distribución por rangos de LTV no indiciados</t>
  </si>
  <si>
    <t>Unindexed LTV ranges</t>
  </si>
  <si>
    <t>Bandbreiten der unindexierten BELEIHUNGSQUOTEN</t>
  </si>
  <si>
    <t>Rangos de LTV no indiciados</t>
  </si>
  <si>
    <t>Gesamt</t>
  </si>
  <si>
    <t xml:space="preserve">Total  </t>
  </si>
  <si>
    <t>1b. Indexed LTV Ranges Distribution</t>
  </si>
  <si>
    <t>1b. Verteilung der indexierten BELEIHUNGSQUOTEN</t>
  </si>
  <si>
    <t>1b. Distribución por rangos de LTV indiciados</t>
  </si>
  <si>
    <t>Indexed LTV ranges</t>
  </si>
  <si>
    <t>Bandbreiten der indexierten BELEIHUNGSQUOTEN</t>
  </si>
  <si>
    <t>Rangos de LTV indiciados</t>
  </si>
  <si>
    <t>2. SEASONING</t>
  </si>
  <si>
    <t>2. BISHERIGE LAUFZEIT</t>
  </si>
  <si>
    <t>2. ANTIGÜEDAD</t>
  </si>
  <si>
    <t>(in months)</t>
  </si>
  <si>
    <t>(in Monaten)</t>
  </si>
  <si>
    <t>(en meses)</t>
  </si>
  <si>
    <t>3. Property Type</t>
  </si>
  <si>
    <t>3. Immobilientyp</t>
  </si>
  <si>
    <t>3. Tipo de Propiedad</t>
  </si>
  <si>
    <t>House</t>
  </si>
  <si>
    <t>Haus</t>
  </si>
  <si>
    <t>Chalé</t>
  </si>
  <si>
    <t>Flat in block with less than 4 units</t>
  </si>
  <si>
    <t>Wohnung in einem Haus mit weniger als 4 Wohnungen</t>
  </si>
  <si>
    <t>Apartamento en vivienda de menos de 4 unidades</t>
  </si>
  <si>
    <t>Flat in block with 4 or more units</t>
  </si>
  <si>
    <t>Wohnung in einem Haus mit 4 oder mehr Wohnungen</t>
  </si>
  <si>
    <t>Apartamento en vivienda con más de 4 unidades</t>
  </si>
  <si>
    <t>PARTIAL COMMERCIAL USE</t>
  </si>
  <si>
    <t>TEILWEISE GEWERBLICHE NUTZUNG</t>
  </si>
  <si>
    <t>USO COMERCIAL PARCIAL</t>
  </si>
  <si>
    <t>Other/No data</t>
  </si>
  <si>
    <t>Sonstiges/Keine Angaben</t>
  </si>
  <si>
    <t>Otro/No Disponible</t>
  </si>
  <si>
    <t>4. Occupancy Type</t>
  </si>
  <si>
    <t>4. Art der Nutzung</t>
  </si>
  <si>
    <t>4. Tipo de Ocupación</t>
  </si>
  <si>
    <t>Owner-occupied</t>
  </si>
  <si>
    <t>Eigennutzung</t>
  </si>
  <si>
    <t>Vivienda del propietario</t>
  </si>
  <si>
    <t>Non-owner-occupied (buy-to-let) where BORROWER has &lt; 3 properties</t>
  </si>
  <si>
    <t>Keine Eigennutzung (Vermietung); KREDITNEHMER verfügt über &lt; 3 Immobilien</t>
  </si>
  <si>
    <t>Alquiler - si el deudor tiene menos de tres inmuebles</t>
  </si>
  <si>
    <t>Non-owner-occupied (buy-to-let) where BORROWER has &gt; 2 properties</t>
  </si>
  <si>
    <t>Keine Eigennutzung (Vermietung); KREDITNEHMER verfügt über &gt;2 Immobilien</t>
  </si>
  <si>
    <t>Alquiler - si el deudor tiene más de tres inmuebles</t>
  </si>
  <si>
    <t>Vacation/ second home</t>
  </si>
  <si>
    <t>Ferienhaus/Zweitwohnsitz</t>
  </si>
  <si>
    <t>Segunda vivienda/uso vacacional</t>
  </si>
  <si>
    <r>
      <t>Partially owner-occupied</t>
    </r>
    <r>
      <rPr>
        <sz val="10"/>
        <rFont val="Arial"/>
        <family val="2"/>
      </rPr>
      <t/>
    </r>
  </si>
  <si>
    <t>Teilweise Eigennutzung</t>
  </si>
  <si>
    <t>Parcialmente ocupado por el propietario</t>
  </si>
  <si>
    <t>5. Loan Purpose</t>
  </si>
  <si>
    <t>5. Zweck des Kredits</t>
  </si>
  <si>
    <t>5. Propósito del Préstamo</t>
  </si>
  <si>
    <t>Purchase</t>
  </si>
  <si>
    <t>Kauf</t>
  </si>
  <si>
    <t>Adquisición</t>
  </si>
  <si>
    <t>RE-MORTGAGE</t>
  </si>
  <si>
    <t>UMSCHULDUNG DER HYPOTHEK</t>
  </si>
  <si>
    <t>SUBROGACIÓN</t>
  </si>
  <si>
    <t>EQUITY RELEASE</t>
  </si>
  <si>
    <t>Verbraucherkredit gegen Hypothek</t>
  </si>
  <si>
    <t>MAYOR ENDEUDAMIENTO</t>
  </si>
  <si>
    <t>RENOVATION</t>
  </si>
  <si>
    <t>RENOVIERUNG</t>
  </si>
  <si>
    <t>Rehabilitación o renovación</t>
  </si>
  <si>
    <t>Construction (new)</t>
  </si>
  <si>
    <t>Neubau</t>
  </si>
  <si>
    <t>Nueva construcción (no promotor)</t>
  </si>
  <si>
    <t>6. Interest Payment Frequency</t>
  </si>
  <si>
    <t>6. Zinszahlungen</t>
  </si>
  <si>
    <t>6. Frecuencia del pago de intereses</t>
  </si>
  <si>
    <t>BULLET</t>
  </si>
  <si>
    <t>ENDFÄLLIGKEIT</t>
  </si>
  <si>
    <t>Monthly</t>
  </si>
  <si>
    <t>Monatlich</t>
  </si>
  <si>
    <t>Mensual</t>
  </si>
  <si>
    <t>Quarterly</t>
  </si>
  <si>
    <t>Vierteljährlich</t>
  </si>
  <si>
    <t>Trimestral</t>
  </si>
  <si>
    <t>Semi-annually</t>
  </si>
  <si>
    <t>Halbjährlich</t>
  </si>
  <si>
    <t>Semestral</t>
  </si>
  <si>
    <t>Annually</t>
  </si>
  <si>
    <t>Jährlich</t>
  </si>
  <si>
    <t>Anual</t>
  </si>
  <si>
    <t>Sonstiges</t>
  </si>
  <si>
    <t>Otra</t>
  </si>
  <si>
    <t>7. Principal Payment Frequency</t>
  </si>
  <si>
    <t>7. Tilgungszahlungen</t>
  </si>
  <si>
    <t>7. Frecuencia del pago de principal</t>
  </si>
  <si>
    <t>Quarterly / Semi-annually</t>
  </si>
  <si>
    <t>Vierteljährlich / Halbjährlich</t>
  </si>
  <si>
    <t>Endfällig</t>
  </si>
  <si>
    <t>8. INTEREST RATE TYPE</t>
  </si>
  <si>
    <t>8. ZINSTYP</t>
  </si>
  <si>
    <t>8. Clase de Tipo de Interés</t>
  </si>
  <si>
    <t>Variabel verzinslich</t>
  </si>
  <si>
    <t>Variable</t>
  </si>
  <si>
    <t>Fixed rate with reset &lt;2 years</t>
  </si>
  <si>
    <t>Fest verzinslich; Zinsanpassung nach &lt;2 Jahren</t>
  </si>
  <si>
    <t>Fijo cambiando a variable &lt; 2 años</t>
  </si>
  <si>
    <t>Fixed rate with reset  ≥2 but &lt; 5 years</t>
  </si>
  <si>
    <t>Fest verzinslich; Zinsanpassung nach &gt;2 aber &lt; 5 Jahren</t>
  </si>
  <si>
    <t>Fijo cambiando a variable ≥ 2 años y &lt; 5años</t>
  </si>
  <si>
    <t>Fixed rate with reset ≥5 years</t>
  </si>
  <si>
    <t>Fest verzinslich; Zinsanpassung nach &gt;5 Jahren</t>
  </si>
  <si>
    <t>Fijo o fijo con variable a ≥ 5 años</t>
  </si>
  <si>
    <t>9. Employment type</t>
  </si>
  <si>
    <t>9. Berufliche Stellung</t>
  </si>
  <si>
    <t>9. Tipo de ocupación del deudor</t>
  </si>
  <si>
    <t>Employed</t>
  </si>
  <si>
    <t>Angestellter</t>
  </si>
  <si>
    <t>Empleado por cuenta ajena</t>
  </si>
  <si>
    <t>Protected life-time employment</t>
  </si>
  <si>
    <t>Sichere Anstellung auf Lebenszeit</t>
  </si>
  <si>
    <t>Funcionario</t>
  </si>
  <si>
    <t>SELF-EMPLOYED</t>
  </si>
  <si>
    <t>SELBSTÄNDIG</t>
  </si>
  <si>
    <t>AUTÓNOMO</t>
  </si>
  <si>
    <t>Unemployed</t>
  </si>
  <si>
    <t>Arbeitslos</t>
  </si>
  <si>
    <t>Desempleado</t>
  </si>
  <si>
    <t xml:space="preserve">10. Adverse Credit History/Non-Conforming </t>
  </si>
  <si>
    <t>10. Schlechte Kredithistorie/Zahlungsausfälle</t>
  </si>
  <si>
    <t>10. Historial de Crédito del Deudor/Non-Conforming</t>
  </si>
  <si>
    <t>LIMITED INCOME VERIFICATION</t>
  </si>
  <si>
    <t>EINGESCHRÄNKTE EINKOMMENSPRÜFUNG</t>
  </si>
  <si>
    <t>Verificación limitada de ingresos</t>
  </si>
  <si>
    <t>MISSED PAYMENTS ON PREV. MORTGAGES ≥ 2 CONSECUTIVE PAYMENT (medium risk)</t>
  </si>
  <si>
    <t>ZAHLUNGSAUSFÄLLE BEI FRÜHEREN HYPOTHEKEN ≥ 2 AUFEINANDERFOLGENDE ZAHLUNGE (mittleres Risiko)</t>
  </si>
  <si>
    <t>IMPAGOS EN HIPOTECAS ANTERIORES ≥ 2 IMPAGOS CONSECUTIVOS (riesgo medio)</t>
  </si>
  <si>
    <t>SERIOUS ADVERSE CREDIT HISTORY (high risk)</t>
  </si>
  <si>
    <t>ERNSTHAFT SCHLECHTE KREDITHISTORIE (hohes Risiko)</t>
  </si>
  <si>
    <t>HISTORIAL CREDITICIO ADVERSO (riesgo alto)</t>
  </si>
  <si>
    <t>PRIOR PERSONAL BANKRUPTCY (very high risk)</t>
  </si>
  <si>
    <t>VORHERGEHENDER PERSÖNLICHER KONKURS (sehr hohes Risiko)</t>
  </si>
  <si>
    <t>EJECUCIÓN JUDICIAL PASADA (muy alto riesgo)</t>
  </si>
  <si>
    <t>RIGHT-TO-BUY</t>
  </si>
  <si>
    <t>VORKAUFRECHT</t>
  </si>
  <si>
    <t>Vivienda de protección oficial o precio subsidiado</t>
  </si>
  <si>
    <t xml:space="preserve">11. LOANS IN ARREARS </t>
  </si>
  <si>
    <t>11. RÜCKSTÄNDIGE KREDITE</t>
  </si>
  <si>
    <t>11. MOROSIDAD</t>
  </si>
  <si>
    <t>Months</t>
  </si>
  <si>
    <t>Monate</t>
  </si>
  <si>
    <t>Meses</t>
  </si>
  <si>
    <t>&lt;2 (and not BPI or Fce)</t>
  </si>
  <si>
    <t>&lt;2 (keine Einleitung eines Konkursverfahrens bzw. Zwangsvollstreckung)</t>
  </si>
  <si>
    <t xml:space="preserve"> ≤2 (y no se ha iniciado PLR o ejecución)</t>
  </si>
  <si>
    <t>≥2-&lt;6 (and not BPI or Fce)</t>
  </si>
  <si>
    <t>≥2-&lt;6 (keine Einleitung eines Konkursverfahrens bzw. Zwangsvollstreckung)</t>
  </si>
  <si>
    <t xml:space="preserve"> ≥2-&lt;6 (y no se ha iniciado PLR o ejecución)</t>
  </si>
  <si>
    <t>≥6-&lt;12 (and not BPI or Fce)</t>
  </si>
  <si>
    <t>≥6-&lt;12 (keine Einleitung eines Konkursverfahrens bzw. Zwangsvollstreckung)</t>
  </si>
  <si>
    <t xml:space="preserve"> ≥6-&lt;12 (y no se ha iniciado PLR o ejecución)</t>
  </si>
  <si>
    <t>&gt;12 (and not BPI or Fce)</t>
  </si>
  <si>
    <t>&gt;12 (keine Einleitung eines Konkursverfahrens oder Zwangsvollstreckung)</t>
  </si>
  <si>
    <t xml:space="preserve"> ≥12 (y no se ha iniciado PLR o ejecución)</t>
  </si>
  <si>
    <t>Bankruptcy proceedings initialted ("BPI") (and not Fce)</t>
  </si>
  <si>
    <t>Einleitung eines Konkursverfahrens (keine Zwangsvollstreckung)</t>
  </si>
  <si>
    <t>se ha iniciado proceso legal recuperatorio ("PLR") (y no ejecución)</t>
  </si>
  <si>
    <t>Foreclosure ("Fce")</t>
  </si>
  <si>
    <t>Zwangsvollstreckung</t>
  </si>
  <si>
    <t>En Ejecución</t>
  </si>
  <si>
    <t>12. PRIOR RANKS</t>
  </si>
  <si>
    <t>12. VORRANGIGE VERBINDLICHKEITEN</t>
  </si>
  <si>
    <t>12. RANGOS SUPERIORES</t>
  </si>
  <si>
    <t xml:space="preserve">No PRIOR RANKS </t>
  </si>
  <si>
    <t>Keine vorrangigen Verbindlichkeiten</t>
  </si>
  <si>
    <t>No Rangos Superiores</t>
  </si>
  <si>
    <t>PRIOR RANKS (total)</t>
  </si>
  <si>
    <t>VORRANGIGE VERBINDLICHKEITEN (gesamt)</t>
  </si>
  <si>
    <t>TOTAL DE RANGOS SUPERIORES</t>
  </si>
  <si>
    <t>PRIOR RANKS &lt;25% LOAN BALANCE</t>
  </si>
  <si>
    <t>VORRANGIGE VERBINDLICHKEITEN &lt;25% des KREDITSALDOS</t>
  </si>
  <si>
    <t>RANGOS SUPERIORES &lt;25% del SALDO VIVO DE PRÉSTAMOS</t>
  </si>
  <si>
    <t>PRIOR RANKS ≥25%-&lt;50% LOAN BALANCE</t>
  </si>
  <si>
    <t>VORRANGIGE VERBINDLICHKEITEN ≥25%-&lt;50% des KREDITSALDOS</t>
  </si>
  <si>
    <t>RANGOS SUPERIORES ≥25%-&lt;50% del SALDO VIVO DE PRÉSTAMOS</t>
  </si>
  <si>
    <t>PRIOR RANKS ≥50%-&lt;75% LOAN BALANCE</t>
  </si>
  <si>
    <t>VORRANGIGE VERBINDLICHKEITEN ≥50%-&lt;75% des KREDITSALDOS</t>
  </si>
  <si>
    <t>RANGOS SUPERIORES ≥50%-&lt;75% del SALDO VIVO DE PRÉSTAMOS</t>
  </si>
  <si>
    <t>PRIOR RANKS &gt;75% LOAN BALANCE</t>
  </si>
  <si>
    <t>VORRANGIGE VERBINDLICHKEITEN &gt;75% des KREDITSALDOS</t>
  </si>
  <si>
    <t>RANGOS SUPERIORES &gt;75% del SALDO VIVO DE PRÉSTAMOS</t>
  </si>
  <si>
    <t>13. PROVISIONED LOANS</t>
  </si>
  <si>
    <t>13. KREDITE MIT RÜCKSTELLUNGEN</t>
  </si>
  <si>
    <t>13. PROVISIONES</t>
  </si>
  <si>
    <t>No provisioning</t>
  </si>
  <si>
    <t>Keine Rückstellungen</t>
  </si>
  <si>
    <t>Sin provisionar</t>
  </si>
  <si>
    <t>PARTIAL PROVISIONING</t>
  </si>
  <si>
    <t>TEILWEISE RÜCKSTELLUNGEN</t>
  </si>
  <si>
    <t>PROVISIÓN PARCIAL</t>
  </si>
  <si>
    <t>FULL PROVISIONING</t>
  </si>
  <si>
    <t>VOLLSTÄNDIGE RÜCKSTELLUNGEN</t>
  </si>
  <si>
    <t>PROVISIÓN TOTAL</t>
  </si>
  <si>
    <t>13. Regions</t>
  </si>
  <si>
    <t>13. Regionen</t>
  </si>
  <si>
    <t>13. COMUNIDADES AUTONOMAS</t>
  </si>
  <si>
    <t>Commercial Data Template</t>
  </si>
  <si>
    <t>Datenvorlage zu Hypotheken für gewerblich genutzte Immobilien</t>
  </si>
  <si>
    <t>INFORMACIÓN CARTERA COMERCIAL</t>
  </si>
  <si>
    <t>Main Country</t>
  </si>
  <si>
    <t>Hauptland</t>
  </si>
  <si>
    <t>País principal</t>
  </si>
  <si>
    <t>WA LOAN BALANCE:</t>
  </si>
  <si>
    <t>GEWICHTETER DURCHSCHNITTLICHER KREDITSALDO</t>
  </si>
  <si>
    <t>Gewichtete durchschnittliche BISHERIGE LAUFZEIT (in Monaten):</t>
  </si>
  <si>
    <t>Gewichtete durchschnittliche Restlaufzeit (in Monaten):</t>
  </si>
  <si>
    <t>WA DSCR (e.g. 2.1)</t>
  </si>
  <si>
    <t>Gewichtete durchschnittliche SCHULDENDIENSTDECKUNGSQUOTE (z.B. 2.1):</t>
  </si>
  <si>
    <t>DSCR MEDIO PONDERADO:</t>
  </si>
  <si>
    <t>WA Current LTV (LOAN BALANCE / UPDATED valuation) (in %):</t>
  </si>
  <si>
    <t>Gewichtete durchschnittliche aktuelle Beleihungsquote (Kreditsaldo / aktualisierte Bewertung) (in %):</t>
  </si>
  <si>
    <t>LTV MEDIO Actual (Balance del préstamo / valor actualizado de la propiedad)</t>
  </si>
  <si>
    <t>WA LTV (in %):</t>
  </si>
  <si>
    <t>Gewichtete durchschnittliche Beleihungsquote (in %):</t>
  </si>
  <si>
    <t>Gewichteter Durchschnittszins für variabel verzinsliche Kredite(in %):</t>
  </si>
  <si>
    <t>Gewichteter Durchschnittszins für variabel verzinsliche Kredite, die im letzten Quartal vor dem BERICHTSDATUM gewaehrt worden sind :</t>
  </si>
  <si>
    <t>WA Interest Rate on fixed rate Loans (in %):</t>
  </si>
  <si>
    <t xml:space="preserve"> Presionar el botón "detail data menu" en esta hoja y seleccionar el nivel de detalle de información quse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</si>
  <si>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 The value should be based on the value of the property at loan origination. See LTV.</t>
  </si>
  <si>
    <t>- KREDITSALDO bezieht sich auf gesamte Kreditbetrag. Zur Berechnung der BELEIHUNGSQUOTE: Im Zaehler: KREDITSALDO plus alle vorrangigen, gleichrangigen und nachrangigen Kredite welche durch dieselbe Immobilie besichert sind / Im Nenner: Wert der Immobilie zum Zeitpunkt der Kreditgewaehrung. Vgl. BELEIHUNGSWERT.</t>
  </si>
  <si>
    <t>-El SALDO VIVO DE PRÉSTAMOS se refiere al nominal del préstamo hipotecario. En el cómputo del LTV, éste se debe calcular como la ratio del SALDO VIVO DE LOS PRÉSTAMOS más todos los préstamos de mayor, igual o menor rango cubiertos por la misma propiedad, dividido por el valor de tasación de dicha propiedad. Ver LTV</t>
  </si>
  <si>
    <t>- The most useful category to complete on this page may be the INTERNAL RATING SCORING split by LTV bands.</t>
  </si>
  <si>
    <t>- Von besonderer Wichtigkeit in diesem Tabellenblatt sind die Kategorie INTERNES RATING nach BELEIHUNGSQUOTE.</t>
  </si>
  <si>
    <t>- La categoría más importante a completar en esta hoja es la Distribución por RATINGS INTERNOS distribuidos en rangos de LTV.</t>
  </si>
  <si>
    <t xml:space="preserve"> - WA (weighted average) is weighted according to the related LOAN BALANCE.</t>
  </si>
  <si>
    <t xml:space="preserve"> - Die Gewichtung der gewichteten Durchschnittswerte erfolgt gemäß dem entsprechenden KREDITSALDO.</t>
  </si>
  <si>
    <t>- If any single property type accounts for a majority (more than 50%) of the LOAN BALANCE this majority property type should be selected.</t>
  </si>
  <si>
    <t>- Wenn ein Immobilientyp im Hinblick auf den KREDITSALDO überwiegt (über 50%), diesen auswählen.</t>
  </si>
  <si>
    <t>- Si un tipo de propiedad representa la mayoría del SALDO VIVO DEL PRÉSTAMO (más del 50%), dicho tipo debe ser asignado al préstamo.</t>
  </si>
  <si>
    <t>- Commercial LOANS refer to loans which do not qualify as residential, are not backed by a company related to the public sector, but are backed by a mortgage. See COMMERCIAL LOAN and PARTIAL COMMERCIAL USE.</t>
  </si>
  <si>
    <t>GEWERBLICHE IMMOBILIENKREDITE beziehen sich auf durch Immobilien besicherte Kredite die nicht als Wohnimmobilien-Krediten klassifiziert wurden, nicht an Kreditnehmer aus dem öffentlicher Sektor vergeben wurden und durch Grundpfandrechte (auf andere Immobilien) besichert sind. Vgl. WOHNINMOBILIENKREDITE und TEILWEISE GEWERBLICHE NUTZUNG.</t>
  </si>
  <si>
    <t>Los préstamos comerciales son aquellos préstamos que no cumplan los criterios para ser tratados como residenciales, no están respaldados por el sector público y están respaldados por hipoteca. (Ver también PRÉSTAMO COMERCIAL y USO COMERCIAL PARCIAL)</t>
  </si>
  <si>
    <t>1. INTERNAL RATING SCORING</t>
  </si>
  <si>
    <t>1. INTERNES RATING</t>
  </si>
  <si>
    <t>1. RATINGS INTERNOS</t>
  </si>
  <si>
    <t>Overall</t>
  </si>
  <si>
    <t>General</t>
  </si>
  <si>
    <t>1a. INTERNAL RATING SCORING</t>
  </si>
  <si>
    <t>1a. INTERNES RATING</t>
  </si>
  <si>
    <t>1a. RATINGS INTERNOS</t>
  </si>
  <si>
    <t>Property Quality</t>
  </si>
  <si>
    <t>Qualität der Immobilie</t>
  </si>
  <si>
    <t>Cualidad de las Propiedades</t>
  </si>
  <si>
    <t>1b. INTERNAL RATING SCORING</t>
  </si>
  <si>
    <t>1b. INTERNES RATING</t>
  </si>
  <si>
    <t>1b. RATINGS INTERNOS</t>
  </si>
  <si>
    <t>Property Location</t>
  </si>
  <si>
    <t>Lage der Immobilie</t>
  </si>
  <si>
    <t>Localización de las Propiedades</t>
  </si>
  <si>
    <t>1ab. INTERNAL RATING SCORING</t>
  </si>
  <si>
    <t>1ab. INTERNES RATING</t>
  </si>
  <si>
    <t>1ab. RATINGS INTERNOS</t>
  </si>
  <si>
    <t xml:space="preserve"> Property Quality AND Property Location </t>
  </si>
  <si>
    <t>Qualität UND Lage der Immobilie</t>
  </si>
  <si>
    <t>Cualidad Y Localización de las Propiedades</t>
  </si>
  <si>
    <t>1c. INTERNAL RATING SCORING</t>
  </si>
  <si>
    <t>1c. INTERNES RATING</t>
  </si>
  <si>
    <t>1c. RATING INTERNOS</t>
  </si>
  <si>
    <t>BORROWER/Sponsor Quality</t>
  </si>
  <si>
    <t>Qualität des KREDITNEHMERs / des Bürgen</t>
  </si>
  <si>
    <t>DEUDOR/Cualidad del Sponsor</t>
  </si>
  <si>
    <t>1d. INTERNAL RATING SCORING</t>
  </si>
  <si>
    <t>1d. INTERNES RATING</t>
  </si>
  <si>
    <t>1d. RATING INTERNOS</t>
  </si>
  <si>
    <t>Tenants Quality</t>
  </si>
  <si>
    <t>Qualität der Mieter</t>
  </si>
  <si>
    <t>Cualidad de los Arrendatarios</t>
  </si>
  <si>
    <t>1cd. INTERNAL RATING SCORING</t>
  </si>
  <si>
    <t>1cd. INTERNES RATING</t>
  </si>
  <si>
    <t>1cd. RATING INTERNOS</t>
  </si>
  <si>
    <t>BORROWER/Sponsor AND Tenant Quality</t>
  </si>
  <si>
    <t>Qualität des KREDITNEHMERs / des Bürgen UND der Mieter</t>
  </si>
  <si>
    <t>DEUDOR/Sponsor y calidad de los arrendatarios</t>
  </si>
  <si>
    <t>1a. LTV Distribution - with value based on market or lending value</t>
  </si>
  <si>
    <t>1a. Verteilung der BELEIHUNGSQUOTEN - auf Markt- oder Beleihungswertbasis</t>
  </si>
  <si>
    <t>1a. Distribución por rangos de LTV -valor de mercado o de tasación</t>
  </si>
  <si>
    <t>1b. LTV Distribution - with value based on vacant possession value</t>
  </si>
  <si>
    <t>1b. Verteilung der BELEIHUNGSQUOTEN - auf Basis des "vacant possession value"</t>
  </si>
  <si>
    <t>1b. Distribución por rangos de LTV -valor basado en utilización</t>
  </si>
  <si>
    <t>LTV Ranges</t>
  </si>
  <si>
    <t>Bandbreiten der BELEIHUNGSQUOTEN</t>
  </si>
  <si>
    <t>Rangos de LTV</t>
  </si>
  <si>
    <t>2. Property  Type</t>
  </si>
  <si>
    <t>2. Immobilientyp</t>
  </si>
  <si>
    <t>2. Tipo de Propiedad</t>
  </si>
  <si>
    <t>Offices (total)</t>
  </si>
  <si>
    <t>Bürogebäude (gesamt)</t>
  </si>
  <si>
    <t>Oficinas (Total)</t>
  </si>
  <si>
    <t>Offices in central business district</t>
  </si>
  <si>
    <t>Bürogebäude in zentralem Geschäftsviertel</t>
  </si>
  <si>
    <t>Oficinas en un distrito céntrico en ciudad</t>
  </si>
  <si>
    <t>Offices in other areas</t>
  </si>
  <si>
    <t>Bürogebäude in anderen Vierteln</t>
  </si>
  <si>
    <t>Oficinas en zonas suburbanas</t>
  </si>
  <si>
    <t>Retail (total)</t>
  </si>
  <si>
    <t>Einzelhandelsflächen (gesamt)</t>
  </si>
  <si>
    <t>Locales comerciales (total)</t>
  </si>
  <si>
    <t>Retail anchored</t>
  </si>
  <si>
    <t>Einzelhandelsflächen in Einkaufszentren</t>
  </si>
  <si>
    <t>Grande Superficie comercial</t>
  </si>
  <si>
    <t>Retail unanchored</t>
  </si>
  <si>
    <t>Einzelhandelsflächen außerhalb von Einkaufszentren</t>
  </si>
  <si>
    <t>Comercio minorista</t>
  </si>
  <si>
    <t>Industrial (total)</t>
  </si>
  <si>
    <t>Industriegebäude (gesamt)</t>
  </si>
  <si>
    <t>Logistical facilities, warehouses</t>
  </si>
  <si>
    <t>Logistikgebäude, Lagergebäude</t>
  </si>
  <si>
    <t>Uso logístico, almacenes</t>
  </si>
  <si>
    <t>Other (plant, factories)</t>
  </si>
  <si>
    <t>Sonstiges (Anlagen, Fabriken)</t>
  </si>
  <si>
    <t>Otros (plantas industriales, etc.)</t>
  </si>
  <si>
    <t>Hotel</t>
  </si>
  <si>
    <t>Hotels</t>
  </si>
  <si>
    <t>Multifamily (total)</t>
  </si>
  <si>
    <t>Mehrfamilienhäuser (gesamt)</t>
  </si>
  <si>
    <t>PROMOTORES INMOBILIARIOS</t>
  </si>
  <si>
    <t xml:space="preserve">    Landlord</t>
  </si>
  <si>
    <t>Vermieter</t>
  </si>
  <si>
    <t>Promotores con menos de tres proyectos</t>
  </si>
  <si>
    <t xml:space="preserve">   Tenant Co-operative Property</t>
  </si>
  <si>
    <t>Gemeinschaftseigentum mit Mietern</t>
  </si>
  <si>
    <t>Promotores con más de tres proyectos</t>
  </si>
  <si>
    <t>MIXED USE</t>
  </si>
  <si>
    <t>GEMISCHTE NUTZUNG</t>
  </si>
  <si>
    <t>USO MIXTO</t>
  </si>
  <si>
    <t xml:space="preserve">LAND </t>
  </si>
  <si>
    <t>GRUNDSTÜCKE</t>
  </si>
  <si>
    <t>TERRENO</t>
  </si>
  <si>
    <t>OTHER PROPERTY TYPE</t>
  </si>
  <si>
    <t>SONSTIGER IMMOBILIENTYP</t>
  </si>
  <si>
    <t>Otro</t>
  </si>
  <si>
    <t>3. PRIOR RANKS</t>
  </si>
  <si>
    <t>3. VORRANGIGE VERBINDLICHKEITEN</t>
  </si>
  <si>
    <t>3. RANGOS SUPERIORES</t>
  </si>
  <si>
    <r>
      <t xml:space="preserve">Keine </t>
    </r>
    <r>
      <rPr>
        <b/>
        <sz val="10"/>
        <rFont val="Arial"/>
        <family val="2"/>
      </rPr>
      <t>vorrangigen Verbindlichkeiten</t>
    </r>
  </si>
  <si>
    <t>SIN RANGOS SUPERIORES</t>
  </si>
  <si>
    <t>PRIOR RANKS &lt;25% of property value</t>
  </si>
  <si>
    <t>VORRANGIGE VERBINDLICHKEITEN &lt;25% des Wertes der Immobilie</t>
  </si>
  <si>
    <t>RANGOS SUPERIORES &lt;25% del valor del inmueble</t>
  </si>
  <si>
    <t>PRIOR RANKS ≥25%-&lt;50% of property value</t>
  </si>
  <si>
    <t>VORRANGIGE VERBINDLICHKEITEN ≥25%-&lt;50% des Wertes der Immobilie</t>
  </si>
  <si>
    <t>RANGOS SUPERIORES ≥25%-&lt;50% del valor del inmueble</t>
  </si>
  <si>
    <t>PRIOR RANKS ≥50%-&lt;75% of property value</t>
  </si>
  <si>
    <t>VORRANGIGE VERBINDLICHKEITEN ≥50%-&lt;75% des Wertes der Immobilie</t>
  </si>
  <si>
    <t>RANGOS SUPERIORES ≥50%-&lt;75% del valor del inmueble</t>
  </si>
  <si>
    <t>PRIOR RANKS &gt;75% of property value</t>
  </si>
  <si>
    <t>VORRANGIGE VERBINDLICHKEITEN &gt;75% des Wertes der Immobilie</t>
  </si>
  <si>
    <t>RANGOS SUPERIORES &gt;75% del valor del inmueble</t>
  </si>
  <si>
    <t>4. Principal Repayment Pattern</t>
  </si>
  <si>
    <t>4.Rückzahlung des Kredits</t>
  </si>
  <si>
    <t>4. Tipo de amortización de Principal</t>
  </si>
  <si>
    <t>BULLET (no amortisation of principal before repayment of loan)</t>
  </si>
  <si>
    <t>Endfällig (keine Tilgungszahlungen vor der Fälligkeit des Darlehens)</t>
  </si>
  <si>
    <t>BULLET (no se amortiza el principal hasta el vencimiento del préstamo)</t>
  </si>
  <si>
    <t>Partial BULLET with partial amortisation on an ANNUITY basis</t>
  </si>
  <si>
    <t>Teilweise endfällig (ANNUITÄTENDARLEHEN)</t>
  </si>
  <si>
    <t>Parcialmente BULLET con parte de AMORTIZACIÓN FRANCESA</t>
  </si>
  <si>
    <t>Partial BULLET with partial amortisation on a STRAIGHT LINE basis</t>
  </si>
  <si>
    <t>Teilweise endfällig (RATENDARLEHEN)</t>
  </si>
  <si>
    <t>Parcialmente BULLET con parte de AMORTIZACIÓN LINEAL</t>
  </si>
  <si>
    <t>Partial BULLET with partial amortisation on other basis</t>
  </si>
  <si>
    <t>Teilweise endfällig mit anderer teilweiser Tilgung</t>
  </si>
  <si>
    <t>Parcialmente BULLET con parte de amortización de otro tipo</t>
  </si>
  <si>
    <t>Fully amortising principal with principal repaid on an ANNUITY basis</t>
  </si>
  <si>
    <t>Darlehen mit vollständiger annuitätischer Tilgung</t>
  </si>
  <si>
    <t>AMORTIZACIÓN FRANCESA</t>
  </si>
  <si>
    <t>Fully amortising principal with principal repaid on a STRAIGHT LINE basis</t>
  </si>
  <si>
    <t>Vollständig amortisierendes RATENDARLEHEN</t>
  </si>
  <si>
    <t>AMORTIZACIÓN LINEAL</t>
  </si>
  <si>
    <t>Fully amortising principal with principal repaid on another basis</t>
  </si>
  <si>
    <t>Vollständig amortisierendes Darlehen mit anderer Tilgungsart</t>
  </si>
  <si>
    <t>OTRO TIPO DE AMORTIZACIÓN</t>
  </si>
  <si>
    <t>5. INTEREST RATE TYPE</t>
  </si>
  <si>
    <t>5.ZINSTYP</t>
  </si>
  <si>
    <t>Fest verzinslich</t>
  </si>
  <si>
    <t>Tipo Fijo</t>
  </si>
  <si>
    <t>6. Current REMAINING TERM</t>
  </si>
  <si>
    <t>6. VERBLEIBENDE LAUFZEIT</t>
  </si>
  <si>
    <t xml:space="preserve">6. VIDA RESTANTE </t>
  </si>
  <si>
    <t>REMAINING TERM in years</t>
  </si>
  <si>
    <t>VERBLEIBENDE LAUFZEIT in Jahren</t>
  </si>
  <si>
    <t>VIDA RESTANTE en años</t>
  </si>
  <si>
    <t>7. LOANS IN ARREARS/foreclosure proceedings</t>
  </si>
  <si>
    <t>7. RÜCKSTÄNDIGE KREDITE / Zwangsvollstreckungsverfahren</t>
  </si>
  <si>
    <t>7. MOROSIDAD y PROCEDIMIENTOS DE EJECUCIÓN</t>
  </si>
  <si>
    <t>Monaten</t>
  </si>
  <si>
    <t>&lt;2 (y no se ha iniciado proceso recuperatorio o ejecución)</t>
  </si>
  <si>
    <t xml:space="preserve"> ≥2-&lt;6 (y no se ha iniciado proceso recuperatorio o ejecución)</t>
  </si>
  <si>
    <t xml:space="preserve"> ≥6-&lt;12 (y no se ha iniciado proceso recuperatorio o ejecución)</t>
  </si>
  <si>
    <t>≥12 (and not BPI or Fce)</t>
  </si>
  <si>
    <t>≥12 (keine Einleitung eines Konkursverfahrens bzw. Zwangsvollstreckung)</t>
  </si>
  <si>
    <t>≥12 (y no se ha iniciado proceso recuperatorio o ejecución)</t>
  </si>
  <si>
    <t>Bankruptcy proceedings initiated ("BPI") and Foreclosure ("Fce")</t>
  </si>
  <si>
    <t>Einleitung eines Konkursverfahrens und Zwangsvollstreckung</t>
  </si>
  <si>
    <t>se ha iniciado proceso recuperatorio y en ejecución</t>
  </si>
  <si>
    <t>9. PROVISIONED LOANS</t>
  </si>
  <si>
    <t>9. WERTBERICHTIGTE KREDITE</t>
  </si>
  <si>
    <t>9. PROVISIONES</t>
  </si>
  <si>
    <t>No Provisioning</t>
  </si>
  <si>
    <t>Keine RÜCKSTELLUNGEN/ Wertberichtigungen</t>
  </si>
  <si>
    <t>TEILWEISE RÜCKSTELLUNGEN / Wertberichtigungen</t>
  </si>
  <si>
    <t>VOLLSTÄNDIGE RÜCKSTELLUNGEN / Wertberichtigungen</t>
  </si>
  <si>
    <t>8. DSCR</t>
  </si>
  <si>
    <t>8. SCHULDENDIENSTDECKUNGSQUOTE</t>
  </si>
  <si>
    <t>Ranges</t>
  </si>
  <si>
    <t>Bandbreiten</t>
  </si>
  <si>
    <t>Rangos</t>
  </si>
  <si>
    <t>11. No. of Tenants</t>
  </si>
  <si>
    <t>11. Anzahl der Mieter</t>
  </si>
  <si>
    <t>11. Núm. de arrendatarios</t>
  </si>
  <si>
    <t>Ranges of Tenants</t>
  </si>
  <si>
    <t>Mieter</t>
  </si>
  <si>
    <t>Arrendatarios</t>
  </si>
  <si>
    <t>11a. No. of Tenants - by DSCR ranges</t>
  </si>
  <si>
    <t>11a. Anzahl der Mieter - nach SCHULDENDIENSTDECKUNGSQUOTE</t>
  </si>
  <si>
    <t>11a. Núm. of arrendatarios - por rangos DSCR</t>
  </si>
  <si>
    <t>9. Regions</t>
  </si>
  <si>
    <t>9. Regionen</t>
  </si>
  <si>
    <t>9. COMUNIDADES AUTÓNOMAS</t>
  </si>
  <si>
    <t>9a. Regions - by LTV Ranges</t>
  </si>
  <si>
    <t>9a. Regionen nach Korridoren für die BELEIHUNGSQUOTE</t>
  </si>
  <si>
    <t>9a. COMUNIDADES AUTÓNOMAS por rangos de LTV</t>
  </si>
  <si>
    <t>Public Sector Loans</t>
  </si>
  <si>
    <t>Kredite an den öffentlichen Sektor</t>
  </si>
  <si>
    <t>Cartera del Sector Público</t>
  </si>
  <si>
    <t>ZAHL DER KREDITE</t>
  </si>
  <si>
    <t>Nº de Préstamos</t>
  </si>
  <si>
    <t>Internal LOAN Rating</t>
  </si>
  <si>
    <t>INTERNES RATING des Kredits</t>
  </si>
  <si>
    <t>Rating interno del préstamo</t>
  </si>
  <si>
    <t>Individual Information on Public Sector Assets</t>
  </si>
  <si>
    <t>Daten zu einzelnen Krediten an den öffentlichen Sektor</t>
  </si>
  <si>
    <t>Información individual</t>
  </si>
  <si>
    <t>DEBTOR Name</t>
  </si>
  <si>
    <t>Name des SCHULDNERS</t>
  </si>
  <si>
    <t>Nombre del DEUDOR</t>
  </si>
  <si>
    <t>Type of exposure</t>
  </si>
  <si>
    <t>Art der Exposure</t>
  </si>
  <si>
    <t>Tipo de exposicion</t>
  </si>
  <si>
    <t>Country in which DEBTOR is based</t>
  </si>
  <si>
    <t>Land, in dem der SCHULDNER ansässig ist</t>
  </si>
  <si>
    <t>País del DEUDOR</t>
  </si>
  <si>
    <t>Region of DEBTOR</t>
  </si>
  <si>
    <t>Region des SCHULDNERS</t>
  </si>
  <si>
    <t>Región del DEUDOR</t>
  </si>
  <si>
    <t>Loan currency</t>
  </si>
  <si>
    <t>Währung des Kredits</t>
  </si>
  <si>
    <t>DIVISA del PRÉSTAMO</t>
  </si>
  <si>
    <t>LOAN BALANCE - 1</t>
  </si>
  <si>
    <t>KREDITSALDO - 1</t>
  </si>
  <si>
    <t>SALDO VIVO DEL PRÉSTAMO -1</t>
  </si>
  <si>
    <t>LOAN BALANCE - 2</t>
  </si>
  <si>
    <t>KREDITSALDO - 2</t>
  </si>
  <si>
    <t>SALDO VIVO DEL PRÉSTAMO -2</t>
  </si>
  <si>
    <t>Moody's DEBTOR Rating</t>
  </si>
  <si>
    <t>SCHULDNER-Rating von Moody's</t>
  </si>
  <si>
    <t>Rating del DEUDOR según Moody's</t>
  </si>
  <si>
    <t>S&amp;P DEBTOR Rating</t>
  </si>
  <si>
    <t>SCHULDNER-Rating von S&amp;P</t>
  </si>
  <si>
    <t>Rating del DEUDOR según S&amp;P</t>
  </si>
  <si>
    <t>Fitch DEBTOR Rating</t>
  </si>
  <si>
    <t>SCHULDNER-Rating von Fitch</t>
  </si>
  <si>
    <t>Rating del DEUDOR según Fitch</t>
  </si>
  <si>
    <t>Internal DEBTOR Rating</t>
  </si>
  <si>
    <t>INTERNES RATING für den SCHULDNER</t>
  </si>
  <si>
    <t>Rating Interno del Deudor</t>
  </si>
  <si>
    <t>Maturity date on Loan (dd/mm/yyyy)</t>
  </si>
  <si>
    <t>Fälligkeitsdatum des Kredits (TT/MM/JJJJ)</t>
  </si>
  <si>
    <t>Fecha de Vencimiento (dd/mm/aaaa)</t>
  </si>
  <si>
    <t>Interest rate, if DEBTOR pays fixed rate (in %)</t>
  </si>
  <si>
    <t>Zinssatz, in% (wenn SCHULDNER einen festen Zinssatz zahlt)</t>
  </si>
  <si>
    <t>Tipo de interés si es a tipo fijo (en %)</t>
  </si>
  <si>
    <t>Interest margin, if DEBTOR pays floating rate (in %)</t>
  </si>
  <si>
    <t>Zinssatz, in% (wenn SCHULDNER einen variabelen Zinssatz zahlt)</t>
  </si>
  <si>
    <t>Margen si es a tipo variable (en %)</t>
  </si>
  <si>
    <t>BASIS or reference rate (if DEBTOR pays floating rate)</t>
  </si>
  <si>
    <t>BASIS oder Referenzzinssatz (wenn SCHULDNER variabel verzinst zahlt)</t>
  </si>
  <si>
    <t>Tipo de interes de referencia, préstamos a tipo variable</t>
  </si>
  <si>
    <t>Is Loan also backed by a mortgage?</t>
  </si>
  <si>
    <t>Ist der Kredit zusaetzlich durch eine Hypothek besichert?</t>
  </si>
  <si>
    <t>Tiene garantía real?</t>
  </si>
  <si>
    <t>LTV (%)</t>
  </si>
  <si>
    <t>BELEIHUNGSQUOTE des Kredits (%)</t>
  </si>
  <si>
    <t>Eligible for repo transactions with ECB / applicable central bank</t>
  </si>
  <si>
    <t>Zugelassen für Repo-Geschäfte mit EZB / Zentralbank</t>
  </si>
  <si>
    <t>Elegible en operaciones de REPO con BCE / banco central</t>
  </si>
  <si>
    <t>Loan performing (in months)</t>
  </si>
  <si>
    <t>RÜCKSTÄNDIGE KREDITE (in Monaten)</t>
  </si>
  <si>
    <t>MOROSIDAD (en meses)</t>
  </si>
  <si>
    <t>Smallest Economic sub-region</t>
  </si>
  <si>
    <t>Kleinste Sub-Region</t>
  </si>
  <si>
    <t>Provincia</t>
  </si>
  <si>
    <t>Principal Repayment Method</t>
  </si>
  <si>
    <t>Rückzahlungsprofil</t>
  </si>
  <si>
    <t>Método de amortización de principal</t>
  </si>
  <si>
    <t>Substitute Collateral</t>
  </si>
  <si>
    <t>Ersatzsicherheiten</t>
  </si>
  <si>
    <r>
      <t>Colateral Complementario</t>
    </r>
    <r>
      <rPr>
        <i/>
        <sz val="14"/>
        <rFont val="Arial Black"/>
        <family val="2"/>
      </rPr>
      <t xml:space="preserve"> (no aplicable a Cédulas españolas)</t>
    </r>
  </si>
  <si>
    <t>Loan identifier number</t>
  </si>
  <si>
    <t>Identifikationsnummer Kredit</t>
  </si>
  <si>
    <t>Número de identificación del prestamo</t>
  </si>
  <si>
    <t>Individual Information on Substitute Assets</t>
  </si>
  <si>
    <t>Daten zu einzelnen Ersatzsicherheiten</t>
  </si>
  <si>
    <t>Información individual sobre el Colateral Adicional</t>
  </si>
  <si>
    <t>DEBTOR identifier number</t>
  </si>
  <si>
    <t>Identifikationsnummer SCHULDNER</t>
  </si>
  <si>
    <t>Número de identificación del DEUDOR</t>
  </si>
  <si>
    <t xml:space="preserve">Numeric reference number. </t>
  </si>
  <si>
    <t xml:space="preserve">Numerische Referenznummer. </t>
  </si>
  <si>
    <t>Número de Referencia interno</t>
  </si>
  <si>
    <t>Region in which DEBTOR is based</t>
  </si>
  <si>
    <t>If not relevant type "NA"</t>
  </si>
  <si>
    <t>"NA", falls nicht zutreffend</t>
  </si>
  <si>
    <t>Si no es relevante, escribir "n/a"</t>
  </si>
  <si>
    <t>Substitute Asset identifier number</t>
  </si>
  <si>
    <t>Identifikationsnummer Ersatzsicherheit</t>
  </si>
  <si>
    <t>Núm. De ifentificación aCtivo adicional</t>
  </si>
  <si>
    <t>Internal reference number</t>
  </si>
  <si>
    <t>Currency of Substitute Asset</t>
  </si>
  <si>
    <t>Substitute Asset balance - 1</t>
  </si>
  <si>
    <t>KREDITSALDO</t>
  </si>
  <si>
    <t>SALDO VIVO DEL PRÉSTAMO-1</t>
  </si>
  <si>
    <t>The current notional balance of the substitute asset in the DEFAULT CURRENCY (use the exchange rate as per CURRENCY CONVERSION as required)</t>
  </si>
  <si>
    <t>Der aktuelle Nominalwert der Ersatzsicherheiten in der STANDARDWÄHRUNG (falls nötig Wechselkurs gemäß der WÄHRUNGSUMRECHNUNG verwenden).</t>
  </si>
  <si>
    <t>Saldo actual de los activos de sustitución en DIVISA ESTÁNDAR (utilizar el tipo de cambio de acuerdo a la conversión de divisa requerida) .</t>
  </si>
  <si>
    <t>Substitute Asset balance - 2</t>
  </si>
  <si>
    <t>KREDITSALDO (in der STANDARDWÄHRUNG, vgl. WÄHRUNGSUMRECHUNG)</t>
  </si>
  <si>
    <t>SALDO VIVO DEL PRÉSTAMO-2</t>
  </si>
  <si>
    <t>The current notional balance of the substitute asset in the currency of the substitute asset</t>
  </si>
  <si>
    <t>Aktueller Nominalwert der Ersatzsicherheit in der Währung des Landes, in dem sich die Ersatzsicherheit befindet.</t>
  </si>
  <si>
    <t>Valor nominal actual del activo adicional en la divisa en que se encuentre denominado</t>
  </si>
  <si>
    <t>Maturity date (dd/mm/yyyy)</t>
  </si>
  <si>
    <t>Fälligkeitsdatum (TT/MM//JJJJ)</t>
  </si>
  <si>
    <t>Tipo de amortización del principal</t>
  </si>
  <si>
    <t>Interest rate, if Substitute Asset pays fixed rate (in %)</t>
  </si>
  <si>
    <t>Zinssatz, wenn Ersatzsicherheiten fest verzinst werden (in %)</t>
  </si>
  <si>
    <t>Tipo de interés, si el activo es a tipo de interés fijo (en %)</t>
  </si>
  <si>
    <t>Rate of interest after taking account of any applicable hedges.</t>
  </si>
  <si>
    <t>Zinssatz nach Berücksichtigung allfälliger Sicherungsgeschäfte.</t>
  </si>
  <si>
    <t>Después de aplicar derivados.</t>
  </si>
  <si>
    <t>Interest margin, if Substitute Asset pays floating rate (in %)</t>
  </si>
  <si>
    <t>Zinsmarge, wenn Ersatzsicherheiten variabel verzinst werden (in %)</t>
  </si>
  <si>
    <t>Margen, si el activo es a tipo de interés flotante (en bps)</t>
  </si>
  <si>
    <t>Margin over BASIS. Only applicable if Substitute Asset pays a floating rate (after taking account of applicable hedges).</t>
  </si>
  <si>
    <t>Margin über BASIS. Nur anwendbar, wenn der Ersatzwert einen variablen Zinssatz zahlt (unter Berücksichtigung der geltenden Absicherungen).</t>
  </si>
  <si>
    <t>Margen sobre el tipo de interés de referencia</t>
  </si>
  <si>
    <t>BASIS or reference rate (if Substitute Asset pays floating rate)</t>
  </si>
  <si>
    <t>BASIS oder Referenzzinssatz, wenn Ersatzsicherheiten variabel verzinst werden</t>
  </si>
  <si>
    <t>Tipo de interés de referencia (si el activo es a tipo flotante)</t>
  </si>
  <si>
    <t>Only applicable if Substitute Asset pays a floating rate (after taking account of applicable hedges).</t>
  </si>
  <si>
    <t>Nur anwendbar, wenn der Ersatzsicherheiten einen variablen Zinssatz zahlt (unter Berücksichtigung der geltenden Absicherungen).</t>
  </si>
  <si>
    <t>Repo-eligible with Central Bank</t>
  </si>
  <si>
    <t>Zugelassen für Repo-Geschäfte mit der Zentralbank</t>
  </si>
  <si>
    <t>Elegible en operaciones de REPO con BCE</t>
  </si>
  <si>
    <t>Substitute Asset performing</t>
  </si>
  <si>
    <t>Ordnungsgemäße Bedienung der Ersatzsicherheit</t>
  </si>
  <si>
    <t>Activos adicionales al corriente de pago</t>
  </si>
  <si>
    <t>In options below, BPI stands for Bankrutcy Proceeding Initiated, and Fce for Foreclosure</t>
  </si>
  <si>
    <t>En las opciones siguientes, "IC" significa inicio del procedimiento consursal, y "Ejec", ejecución</t>
  </si>
  <si>
    <t>Moody's Rating on Substitute Asset</t>
  </si>
  <si>
    <t>Ersatzsicherheit: Rating von Moody's</t>
  </si>
  <si>
    <t>Rating según Moody's</t>
  </si>
  <si>
    <t>S&amp;P Rating on Substitute Asset</t>
  </si>
  <si>
    <t>Ersatzsicherheit: Rating von S&amp;P</t>
  </si>
  <si>
    <t>Rating según S&amp;P</t>
  </si>
  <si>
    <t>Fitch Rating on Substitute Asset</t>
  </si>
  <si>
    <t>Ersatzsicherheit: Rating von Fitch</t>
  </si>
  <si>
    <t>Rating según Fitch</t>
  </si>
  <si>
    <t>Substitute Asset internal rating</t>
  </si>
  <si>
    <t>INTERNES RATING Ersatzsicherheit</t>
  </si>
  <si>
    <t>Rating Interno</t>
  </si>
  <si>
    <t>Moody's Rating on Substitute Asset Sponsor</t>
  </si>
  <si>
    <t>Moody's Rating Ersatzsicherheit Sponsor</t>
  </si>
  <si>
    <t>Rating según Moody's del garante</t>
  </si>
  <si>
    <t>S&amp;P Rating on Substitute Asset Sponsor</t>
  </si>
  <si>
    <t>S&amp;P Rating Ersatzsicherheit Sponsor</t>
  </si>
  <si>
    <t>Rating según S&amp;P del garante</t>
  </si>
  <si>
    <t>Fitch Rating on Substitute Asset Sponsor</t>
  </si>
  <si>
    <t>Fitch Rating Ersatzsicherheit Sponsor</t>
  </si>
  <si>
    <t>Rating según Fitch del garante</t>
  </si>
  <si>
    <t>Internal Substitute Asset Sponsor Rating</t>
  </si>
  <si>
    <t>INTERNES RATING Ersatzsicherheit Sponsor</t>
  </si>
  <si>
    <t>Rating interno del garante</t>
  </si>
  <si>
    <t>Is Substitute Asset also backed by a mortgage?</t>
  </si>
  <si>
    <t>Ist Ersatzsicherheit wiederum durch eine Hypothek besichert?</t>
  </si>
  <si>
    <t>¿Tiene garantía hipotecaria?</t>
  </si>
  <si>
    <t>Where Loan is also backed by a mortgage, what is LTV of Loan, and if no mortgage, then "NA"</t>
  </si>
  <si>
    <t>Wenn der Kredit durch eine Hypothek besichert ist, bitte die BELEIHUNGSQUOTE des Kredits angeben; wenn keine Hypothek vorhanden ist, tragen Sie "NA" ein.</t>
  </si>
  <si>
    <t>Si está garantizado por hipoteca, ¿cuál es el LTV?, y si no está"n/a"</t>
  </si>
  <si>
    <t>Hedging (1)</t>
  </si>
  <si>
    <t>Hedging(1)</t>
  </si>
  <si>
    <t>1. Overview - Hedging (1) page</t>
  </si>
  <si>
    <t xml:space="preserve">1. Überblick - Tabellenblatt Hedging (1) </t>
  </si>
  <si>
    <t>1. Resumen- Hoja Hedging(1)</t>
  </si>
  <si>
    <t>2. Swap by Swap - Hedging (2) page</t>
  </si>
  <si>
    <t xml:space="preserve">2. Einzelne Swaps - Tabellenblatt Heging(2) </t>
  </si>
  <si>
    <t>2. Información de Swaps- Hoja Hedging(2)</t>
  </si>
  <si>
    <t>3. Cashflow analysis - Hedging (3) page</t>
  </si>
  <si>
    <t xml:space="preserve">3. Cashflow-Analyse - Tabellenblatt Hedging(3) </t>
  </si>
  <si>
    <t>3. Análisis de Cashflows - Hoja Hedging(3)</t>
  </si>
  <si>
    <t>- Currency swaps as referred in columns R to AA should include only QUALIFYING SWAPs</t>
  </si>
  <si>
    <t>- Währungsswaps in den Spalten R bis AA umfassen nur QUALIFIZIERTE SWAPS.</t>
  </si>
  <si>
    <t>- all four tables below should be completed by all Issuers</t>
  </si>
  <si>
    <t>- bitte alle vier Tabellenausfüllen</t>
  </si>
  <si>
    <t>- Las cuatro tablas a continuación deben ser completadas por cualquier Emisor</t>
  </si>
  <si>
    <r>
      <t xml:space="preserve">- the amounts below should cover all </t>
    </r>
    <r>
      <rPr>
        <sz val="10"/>
        <rFont val="Arial"/>
        <family val="2"/>
      </rPr>
      <t>Assets</t>
    </r>
    <r>
      <rPr>
        <sz val="10"/>
        <rFont val="Arial"/>
        <family val="2"/>
      </rPr>
      <t xml:space="preserve">, i.e. include residential, commercial, public sector, and substitute collateral. </t>
    </r>
  </si>
  <si>
    <t>- die Salden sollten alle Vermögenswerte - d.h. Hypotheken für Wohnimmobilien, Hypotheken für gewerblich genutzte Immobilien, öffentliche Kredite und Ersatzsicherheiten - einbeziehen.</t>
  </si>
  <si>
    <t>- El análisis debe tener en cuenta toda las CLASES de ACTIVOS, es decir residenciales y comerciales para el caso de Cédulas Hipotecarias  y del Sector Público en caso de Cédulas Territoriales</t>
  </si>
  <si>
    <t>- exclude all caps and floors from the swap analysis below</t>
  </si>
  <si>
    <t>- bei der Swap-Analyse sind Caps und Floors nicht zu berücksichtigen</t>
  </si>
  <si>
    <t>-Exclúyanse los caps y floor del análisis de swap</t>
  </si>
  <si>
    <t>- data on this sheet should be entered in the currency of the assets or covered bonds entered in column "A"</t>
  </si>
  <si>
    <t>- alle Daten auf diesem Tabellenblatt sollten in der Währung der Darlehen oder Gedeckten Schuldverschreibungen in Spalte A eingegeben werden</t>
  </si>
  <si>
    <t>-La información en esta hoja debe rellenarse en la divisa de los activos o de los covered bonds que se han especificado en la columna "A"</t>
  </si>
  <si>
    <t>- for first 2 tables enter separate row for each different currency of a loan. Similarly, for tables 3 and 4 enter a separate row for each different currency in which CB issued in. Should the programme include more than 9 currencies, please report the main 8 currencies and aggregate the remainder in the ninth row.</t>
  </si>
  <si>
    <t>- ein Zeile pro Swapwährung eines Darlehens bzw. Schuldverschreibung (siehe auch Anmerkung in der Spalte "Swapwährung"). Sollte das Programm &gt;9 Währungen haben, bitte die acht Hauptwährungen angeben und weitere Währungen aggregieren.</t>
  </si>
  <si>
    <t>-En las dos primeras tablas rellenar una fila por divisa de los activos. De igual manera, para las tablas 3 y 4, rellenar cada fila por la divisa de los pasivos emitidos.</t>
  </si>
  <si>
    <t>Analysis of fixed rate Assets in the COVER POOL: Split by currency of Assets. Assets which reset within the next 12 months should be reported as floating.</t>
  </si>
  <si>
    <t>Analyse FESTVERZINSLICHER VERMÖGENSWERTE in der DECKUNGSMASSE: Aufteilung nach der Währung der Vermögenswerte. Festverzinsliche mit Zinsanpassungstermin in den naechsten 12 Monaten gelten als variabel und sollten in der unteren Tabelle angegeben werden.</t>
  </si>
  <si>
    <t>Análisis de los Activos a tipo fijo en la CARTERA SUBYACENTE: Distribuido por la divisa de los Activos</t>
  </si>
  <si>
    <t xml:space="preserve">Divisa  </t>
  </si>
  <si>
    <t>Currency of Assets in COVER POOL</t>
  </si>
  <si>
    <t>Währung der Vermögenswerte in der DECKUNGSMASSE</t>
  </si>
  <si>
    <t>Divisa de lso activos en la CARTERA SUBYACENTE</t>
  </si>
  <si>
    <t>LOAN BALANCE</t>
  </si>
  <si>
    <t>Valor</t>
  </si>
  <si>
    <t>LOAN BALANCE of Loans in COVER POOL</t>
  </si>
  <si>
    <t>KREDITSALDO der Kredite in der DECKUNGSMASSE</t>
  </si>
  <si>
    <t>Valor de los Préstamos en la CARTERA SUBYACENTE</t>
  </si>
  <si>
    <t>AVERAGE LIFE of Fixed period  (stressed)</t>
  </si>
  <si>
    <t>Durchschnittlicher Festlegungszeitraum (unter Stress)</t>
  </si>
  <si>
    <t>VIDA MEDIA del Periodo a Tipo Fijo (estresado)</t>
  </si>
  <si>
    <t>AVERAGE LIFE of fixed rate Assets considering the FIX PERIOD of these Assets, where FIX PERIOD should be calculated assuming no PREPAYMENT received on these Assets. In years (e.g. 4.3).</t>
  </si>
  <si>
    <t>DURCHSCHNITTLICHE RESTLAUFZEIT fest verzinslicher Vermögenswerte unter Berücksichtigung des Festlegungszeitraums der Zinsen für diese Vermögenswerte; die ZINSBINDUNGSFRIST ist unter der Annahme zu berechnen, dass auf diese Vermögenswerte keine VORZEITIGE ZAHLUNGEN erfolgen. In Jahren (z.B. 4.3).</t>
  </si>
  <si>
    <t>VIDA MEDIA de los activos a tipo fijo, considerando el PERIODO A TIPO FIJO de los Activos, calculando dicho periodo sin asumir un NIVEL DE PREPAGOS de los Activos. (por ejemplo: 4.3)</t>
  </si>
  <si>
    <t>AVERAGE LIFE of Fixed Period (expected)</t>
  </si>
  <si>
    <t>Durchschnittlicher Festlegungszeitraum (erwartet)</t>
  </si>
  <si>
    <t>VIDA MEDIA del Periodo a Tipo Fijo (esperado)</t>
  </si>
  <si>
    <t>AVERAGE LIFE of fixed rate Assets considering the FIX PERIOD of these Assets, where FIX PERIOD should be calculated assuming the ASSUMED PREPAYMENT LEVEL received on these Assets. In years (e.g. 3.9).</t>
  </si>
  <si>
    <t>DURCHSCHNITTLICHE RESTLAUFZEIT fest verzinslicher Vermögenswerte unter Berücksichtigung des Festlegungszeitraums der Zinsen für diese Vermögenswerte; die ZINSBINDUNGSFRIST ist unter der Annahme zu berechnen, dass die angenommenen VORZEITIGEN ZAHLUNGEN auf diese Vermögenswerte geleistet werden. In Jahren (z.B. 3.9).</t>
  </si>
  <si>
    <t>VIDA MEDIA de los activos a tipo fijo, considerando el PERIODO A TIPO FIJO de los Activos, calculando dicho periodo considerando el NIVEL DE PREPAGOS ASUMIDO de los Activos. (por ejemplo: 3.9)</t>
  </si>
  <si>
    <t>AVERAGE LIFE OF ASSETS (stressed)</t>
  </si>
  <si>
    <t>DURCHSCHNITTLICHE RESTLAUFZEIT DER VERMÖGENSWERTE (unter Stress)</t>
  </si>
  <si>
    <t>VIDA MEDIA DE LOS ACTIVOS (Estresada)</t>
  </si>
  <si>
    <t>AVERAGE LIFE OF ASSETS (here: fixed assets) calculated assuming no PREPAYMENT received on these Assets. In years (e.g. 15.1).</t>
  </si>
  <si>
    <t>DURCHSCHNITTLICHE RESTLAUFZEIT DER VERMÖGENSWERTE (hier: der festverzinslichen), berechnet unter der Annahme, dass keine VORZEITIGEN ZAHLUNGEN auf die Vermögenswerte geleistet werden. In Jahren (z.B. 15.1).</t>
  </si>
  <si>
    <t>VIDA MEDIA de los activos sin asumir un NIVEL DE PREPAGOS de los Activos. (por ejemplo: 15.1)</t>
  </si>
  <si>
    <t>AVERAGE LIFE OF ASSETS (expected)</t>
  </si>
  <si>
    <t>DURCHSCHNITTLICHE RESTLAUFZEIT DER VERMÖGENSWERTE (erwartet)</t>
  </si>
  <si>
    <t>VIDA MEDIA DE LOS ACTIVOS (Esperada)</t>
  </si>
  <si>
    <t>AVERAGE LIFE OF ASSETS (here: fixed assets) calculated assuming the ASSUMED PREPAYMENT LEVEL received on these Assets. In years (e.g. 12.9).</t>
  </si>
  <si>
    <t>DURCHSCHNITTLICHE RESTLAUFZEIT DER VERMÖGENSWERTE (hier: der festverzinslichen), berechnet unter der Annahme, dass die ANGENOMMENEN VORZEITIGEN ZAHLUNGEN auf die Vermögenswerte geleistet werden. In Jahren (z.B. 12.9).</t>
  </si>
  <si>
    <t>VIDA MEDIA de los activos considerando un NIVEL DE PREPAGOS ASUMIDO de los Activos. (por ejemplo: 12.9)</t>
  </si>
  <si>
    <t>Interest Rate pre swaps</t>
  </si>
  <si>
    <t>Zinssatz vor Swaps</t>
  </si>
  <si>
    <t>TIPO de Interés pre swaps</t>
  </si>
  <si>
    <t>WA interest rate on fixed rate assets in COVER POOL excluding the impact of swaps (in %)</t>
  </si>
  <si>
    <t>Gewichteter durchschnittlicher Zinssatz der fest verzinslichen Vermögenswerte der DECKUNGSMASSE ohne die Auswirkungen von Swaps (in %)</t>
  </si>
  <si>
    <t>Tipo de Interés Medio Ponderado de los préstamos a tipo fijo en la CARTERA SUBYACENTE excluyendo el impacto de swaps</t>
  </si>
  <si>
    <t>Interest Rate post swaps</t>
  </si>
  <si>
    <t>Zinssatz nach Swaps</t>
  </si>
  <si>
    <t>TIPO de Interés post swaps</t>
  </si>
  <si>
    <t>WA interest rate on fixed rate assets in COVER POOL including the impact of swaps (in %)</t>
  </si>
  <si>
    <t>Gewichteter durchschnittlicher Zinssatz der fest verzinslichen Vermögenswerte der DECKUNGSMASSE einschließlich der Auswirkungen von Swaps (in %)</t>
  </si>
  <si>
    <t>Tipo de Interés Medio Ponderado de los préstamos a tipo fijo en la CARTERA SUBYACENTE incluyendo el impacto de swaps (no aplicable para Cédulas españolas)</t>
  </si>
  <si>
    <t>Notional Interest % Swapped</t>
  </si>
  <si>
    <t>Geswapter Nominalzins in %</t>
  </si>
  <si>
    <t>Nocional cubierto por IRS en %</t>
  </si>
  <si>
    <t>Notional of interest rate swapped to floating as a %</t>
  </si>
  <si>
    <t>Nominaler Zinssatz, der gegen einen variablen Zinssatz geswapt wurde, in %.</t>
  </si>
  <si>
    <t>Nocional de IRS fijo-flotante en % (no aplicable para España)</t>
  </si>
  <si>
    <t>Average Interest Swap Life (stressed)</t>
  </si>
  <si>
    <t>DURCHSCHNITTLICHE RESTLAUFZEIT der Zinsswaps (unter Stress)</t>
  </si>
  <si>
    <t>Vida Media del IRS (estresado)</t>
  </si>
  <si>
    <t>AVERAGE LIFE of the interest rate swap to floating rate assuming no PREPAYMENT</t>
  </si>
  <si>
    <t>DURCHSCHNITTLICHE RESTLAUFZEIT des Zinsswaps zu einem variablen Zins unter der Annahme, dass keine VORZEITIGEN ZAHLUNGEN erfolgen</t>
  </si>
  <si>
    <t>VIDA MEDIA del IRS fijo-flotante asumiendo 0% prepagos (no aplicable para España)</t>
  </si>
  <si>
    <t>Notional Interest % Swapped (expected)</t>
  </si>
  <si>
    <t>Geswapter Nominalzins in % (erwartet)</t>
  </si>
  <si>
    <t>Nocional cubierto por IRS en % (esperado)</t>
  </si>
  <si>
    <t>Notional of interest rate swapped to floating as a %, assuming ASSUMED PREPAYMENT LEVEL on fixed rate Assets)</t>
  </si>
  <si>
    <t>Nominaler Zinssatz, der gegen einen variablen Zinssatz geswapt wurde, in %, unter der Annahme, dass ANGENOMMENE VORZEITIGE ZAHLUNGEN auf fest verzinsliche Vermögenswerte erfolgen</t>
  </si>
  <si>
    <t>Nocional de IRS fijo-flotante en %, considerando el NIVEL DE PREPAGOS ASUMIDO en los activos a tipo fijo (no aplicable para España)</t>
  </si>
  <si>
    <t>Average Interest Swap Life (expected)</t>
  </si>
  <si>
    <t>DURCHSCHNITTLICHE RESTLAUFZEIT der Zinsswaps (erwartet)</t>
  </si>
  <si>
    <t>Vida Media del IRS (esperado)</t>
  </si>
  <si>
    <t>AVERAGE LIFE of the interest rate swap to floating rate assuming ASSUMED PREPAYMENT LEVEL</t>
  </si>
  <si>
    <t>DURCHSCHNITTLICHE RESTLAUFZEIT des Zinsswaps zu einem variablen Zins unter der Annahme, dass ANGENOMMENE VORZEITIGE ZAHLUNGEN auf fest verzinsliche Vermögenswerte erfolgen</t>
  </si>
  <si>
    <t>VIDA MEDIA del IRS fijo-flotante considerando el NIVEL DE PREPAGOS ASUMIDO (no aplicable para España)</t>
  </si>
  <si>
    <t>Currency Swapped to</t>
  </si>
  <si>
    <t>Swapwährung</t>
  </si>
  <si>
    <t xml:space="preserve">DIVISA CUBIERTA </t>
  </si>
  <si>
    <t>This should exclude swaps which are entered into to remove currency risks on Covered Bonds issued in currencies other than the DEFAULT CURRENCY. These should be entered into the Covered Bond table below</t>
  </si>
  <si>
    <t>Hier sind keine Swaps einzutragen, die dazu dienen, Wechselkursrisiken für gedeckte Schuldverschreibungen zu eliminieren, die nicht in der STANDARDWÄHRUNG begeben wurde. Derartige Swaps sind in der unten stehenden Tabelle für gedeckte Schuldverschreibungen anzugeben</t>
  </si>
  <si>
    <t>En este campo se deben excluir los swaps (no aplicable para España) de divisas que cubren los bonos emitidos en otras diversas distintas que la DIVISA ESTÁNDAR. Este tipo de swaps se debe considerar en la tabla de Cédulas abajo.</t>
  </si>
  <si>
    <t>Notional Currency % Swapped</t>
  </si>
  <si>
    <t>Nominalwert der Währungsswaps in %</t>
  </si>
  <si>
    <t>Nocional cubierto por Swpas de divisas en %</t>
  </si>
  <si>
    <t>Notional of foreign currency swapped to default currency as a %</t>
  </si>
  <si>
    <t>Saldo en divisa extranjera convertido vía swap a divisa estándar como %</t>
  </si>
  <si>
    <t>Average Currency Swap Life (stressed)</t>
  </si>
  <si>
    <t>DURCHSCHNITTLICHE RESTLAUFZEIT der Währungsswaps (unter Stress)</t>
  </si>
  <si>
    <t>Vida Media del Swap de divisas(estresado)</t>
  </si>
  <si>
    <t>AVERAGE LIFE of the currency swap assuming no PREPAYMENT</t>
  </si>
  <si>
    <t>DURCHSCHNITTLICHE RESTLAUFZEIT des Währungsswaps unter der Annahme, dass keine VORZEITIGEN ZAHLUNGEN erfolgen</t>
  </si>
  <si>
    <t>VIDA MEDIA del swap asumiendo 0% prepagos (no aplicable para España)</t>
  </si>
  <si>
    <t>Notional Currency % Swapped (expected)</t>
  </si>
  <si>
    <t>Nominalwert der Währungsswaps in % (erwartet)</t>
  </si>
  <si>
    <t>Nocional cubierto por Swap de divisas en % (estresado)</t>
  </si>
  <si>
    <t>Notional of currency swapped %, assuming ASSUMED PREPAYMENT LEVEL on fixed rate Assets)</t>
  </si>
  <si>
    <t>Nominalwert der Währungsswaps in %, unter der Annahme, dass ANGENOMMENE VORZEITIGE ZAHLUNGEN auf fest verzinsliche Vermögenswerte erfolgen.</t>
  </si>
  <si>
    <t>Nocional del swap en %, considerando el NIVEL DE PREPAGOS ASUMIDO en los activos a tipo fijo (no aplicable para España)</t>
  </si>
  <si>
    <t>Average Currency Swap Life (expected)</t>
  </si>
  <si>
    <t>DURCHSCHNITTLICHE RESTLAUFZEIT der Währungsswaps (erwartet)</t>
  </si>
  <si>
    <t>AVERAGE LIFE of the currency swap assuming ASSUMED PREPAYMENT LEVEL</t>
  </si>
  <si>
    <t>DURCHSCHNITTLICHE RESTLAUFZEIT des Währungsswaps unter der Annahme, dass ANGENOMMENE VORZEITIGE ZAHLUNGEN erfolgen</t>
  </si>
  <si>
    <t>VIDA MEDIA del swap considerando el NIVEL DE PREPAGOS ASUMIDO (no aplicable para España)</t>
  </si>
  <si>
    <t>Analysis of floating rate Assets in the COVER POOL: Split by currency of assets. Inlcuding fixed rate loans, which reset within the next 12 months.</t>
  </si>
  <si>
    <t>Analyse VARIABEL VERZINSLICHER VERMÖGENSWERTE in der DECKUNGSMASSE: Aufteilung nach Währung der Vermögenswerte. Einschliesslich festverzinsliche mit Anpassungstermin innerhalb der naechsten 12 Monate.</t>
  </si>
  <si>
    <t>Análisis de los Activos a tipo variable en la CARTERA SUBYACENTE: Distribuido por la divisa de los Activos</t>
  </si>
  <si>
    <t>Divisa de lod activos en la CARTERA SUBYACENTE</t>
  </si>
  <si>
    <t>Wert</t>
  </si>
  <si>
    <t>Value of Loans in COVER POOL</t>
  </si>
  <si>
    <t>Wert der Kredite in der DECKUNGSMASSE</t>
  </si>
  <si>
    <t>AVERAGE LIFE OF ASSETS (here: floating rate assets) calculated assuming no PREPAYMENT received on these Assets. In years.</t>
  </si>
  <si>
    <t>DURCHSCHNITTLICHE RESTLAUFZEIT DER VERMÖGENSWERTE (hier: der variabel verzinslichen), berechnet unter der Annahme, dass keine VORZEITIGEN ZAHLUNGEN auf die Vermögenswerte geleistet werden. In Jahren.</t>
  </si>
  <si>
    <t>VIDA MEDIA de los activos sin asumir un NIVEL DE PREPAGOS de los Activos</t>
  </si>
  <si>
    <t>AVERAGE LIFE OF ASSETS (here: floating rate assets) calculated assuming the ASSUMED PREPAYMENT LEVEL received on these Assets. In years.</t>
  </si>
  <si>
    <t>DURCHSCHNITTLICHE RESTLAUFZEIT DER VERMÖGENSWERTE (hier: der variabel verzinslichen), berechnet unter der Annahme, dass die ANGENOMMENEN VORZEITIGEN ZAHLUNGEN auf die Vermögenswerte geleistet werden. In Jahren.</t>
  </si>
  <si>
    <t>VIDA MEDIA de los activos considerando un NIVEL DE PREPAGOS ASUMIDO de los Activos</t>
  </si>
  <si>
    <t>WA Interest Rate on Floating rate Assets in COVER POOL excluding the impact of swaps (in %)</t>
  </si>
  <si>
    <t>Gewichteter durchschnittlicher Zinssatz der variabel verzinslichen Vermögenswerte der DECKUNGSMASSE ohne die Auswirkungen von Swaps (in %)</t>
  </si>
  <si>
    <t>WA Interest Rate on Floating rate Assets in COVER POOL including the impact of swaps (in %)</t>
  </si>
  <si>
    <t>Gewichteter durchschnittlicher Zinssatz der variabel verzinslichen Vermögenswerte der DECKUNGSMASSE einschließlich der Auswirkungen von Swaps (in %)</t>
  </si>
  <si>
    <t>Notional of interest rate swapped to fixed rate as a %</t>
  </si>
  <si>
    <t>Nocional de IRS a fijo en % (no aplicable para España)</t>
  </si>
  <si>
    <t>AVERAGE LIFE of the interest rate swap to fixed rate assuming no PREPAYMENT</t>
  </si>
  <si>
    <t>DURCHSCHNITTLICHE RESTLAUFZEIT des Zinsswaps zu einem festen Zins unter der Annahme, dass keine VORZEITIGEN ZAHLUNGEN erfolgen</t>
  </si>
  <si>
    <t>VIDA MEDIA del IRS a fijo asumiendo 0% prepagos (no aplicable para España)</t>
  </si>
  <si>
    <t>Notional of interest rate swapped to fixed rate as a %, assuming ASSUMED PREPAYMENT LEVEL on floating rate Assets)</t>
  </si>
  <si>
    <t>Nominaler Zinssatz, der gegen einen festen Zinssatz geswapt wurde, in %, unter der Annahme, dass ANGENOMMENE VORZEITIGE ZAHLUNGEN auf variabel verzinsliche Vermögenswerte erfolgen</t>
  </si>
  <si>
    <t>Nocional de IRS a fijo en %, considerando el NIVEL DE PREPAGOS ASUMIDO en los activos a tipo fijo (no aplicable para España)</t>
  </si>
  <si>
    <t>AVERAGE LIFE of the interest rate swap to fixed rate assuming ASSUMED PREPAYMENT LEVEL</t>
  </si>
  <si>
    <t>DURCHSCHNITTLICHE RESTLAUFZEIT des Zinsswaps zu einem festen Zins unter der Annahme, dass ANGENOMMENE VORZEITIGE ZAHLUNGEN auf variabel verzinsliche Vermögenswerte erfolgen</t>
  </si>
  <si>
    <t>VIDA MEDIA del IRS a fijo considerando el NIVEL DE PREPAGOS ASUMIDO (no aplicable para España)</t>
  </si>
  <si>
    <t>Notional of currency swapped %, assuming ASSUMED PREPAYMENT LEVEL on fixed rate Assets</t>
  </si>
  <si>
    <t>Analysis of fixed rate Covered Bonds: Split by currency of Covered Bonds</t>
  </si>
  <si>
    <t>Analyse fest verzinslicher GEDECKTER SCHULDVERSCHREIBUNGEN: Aufteilung nach der Währung der Gedeckten Schuldverschreibungen</t>
  </si>
  <si>
    <t>Análisis de las Cédulas a tipo fijo: Distribuido por la divisa de emisión</t>
  </si>
  <si>
    <t>Currency of Covered Bonds</t>
  </si>
  <si>
    <t>Währung der Gedeckten Schuldverschreibungen</t>
  </si>
  <si>
    <t>Divisa de emisión de la Cédula</t>
  </si>
  <si>
    <t>Nominal amount of Covered Bonds issued</t>
  </si>
  <si>
    <t>Nominalwert der emittierten, Gedeckten Schuldverschreibungen</t>
  </si>
  <si>
    <t>Valor Nocional actual de la Cédula emitida</t>
  </si>
  <si>
    <t>AVERAGE LIFE (stressed)</t>
  </si>
  <si>
    <t>DURCHSCHNITTLICHE RESTLAUFZEIT (unter Stress)</t>
  </si>
  <si>
    <t>VIDA MEDIA DE LAS CÉDULAS (Estresada)</t>
  </si>
  <si>
    <t>AVERAGE LIFE of the fixed rate Covered Bonds assuming no PREPAYMENT and ignoring any variable period (for example in any extension period)</t>
  </si>
  <si>
    <t>DURCHSCHNITTLICHE RESTLAUFZEIT der fest verzinslichen Gedeckten Schuldverschreibungen, berechnet unter der Annahme, dass keine VORZEITIGEN ZAHLUNGEN  geleistet werden und ohne Berücksichtigung variabler Laufzeiten (z.B. Verlängerungen). In Jahren.</t>
  </si>
  <si>
    <t>VIDA MEDIA de las Cédulas a tipo fijosin asumir un NIVEL DE PREPAGOS de los Activos</t>
  </si>
  <si>
    <t>AVERAGE LIFE (expected)</t>
  </si>
  <si>
    <t>DURCHSCHNITTLICHE RESTLAUFZEIT (erwartet)</t>
  </si>
  <si>
    <t>VIDA MEDIA DE LOS CÉDULAS (Esperada)</t>
  </si>
  <si>
    <t>For pass through (non-bullet) bonds only. AVERAGE LIFE of the fixed rate Covered Bonds assuming ASSUMED PREPAYMENT LEVEL and ignoring any variable period (for example in any extension period). In years.</t>
  </si>
  <si>
    <t>Bei pass-through (nicht endfaellingen) SCHULDVERSCHREIBUNGEN: DURCHSCHNITTLICHE RESTLAUFZEIT der fest verzinslichen SCHULDVERSCHREIBUNGEN, berechnet unter der Annahme, dass die ANGENOMMENEN VORZEITIGEN ZAHLUNGEN geleistet werden und ohne Berücksichtigung variabler Laufzeiten (z.B. Verlängerungen)</t>
  </si>
  <si>
    <t>VIDA MEDIA de los activos considerando un NIVEL DE PREPAGOS ASUMIDO de los Activos (No aplicable en España)</t>
  </si>
  <si>
    <t>This should only include swaps which are entered into to remove currency risks on liabilities issued in currencies other than the DEFAULT CURRENCY.</t>
  </si>
  <si>
    <t>Hier sind nur Swaps einzutragen, die Wechselkursrisiken für Schuldverschreibungen eliminieren sollen, die nicht in der STANDARDWÄHRUNG emittiert wurden.</t>
  </si>
  <si>
    <t xml:space="preserve">En este campo se deben incluir los swaps (no aplicable para España) de divisas que cubren los bonos emitidos en otras diversas distintas que la DIVISA ESTÁNDAR. </t>
  </si>
  <si>
    <t>For pass through (non-bullet) bonds only. Notional of currency swapped %, assuming ASSUMED PREPAYMENT LEVEL on fixed rate Assets</t>
  </si>
  <si>
    <t>Bei pass-through (nicht endfaellingen) SCHULDVERSCHREIBUNGEN:  Nominalwert der Währungsswaps in %, unter der Annahme, dass ANGENOMMENE VORZEITIGE ZAHLUNGEN auf fest verzinsliche Vermögenswerte erfolgen.</t>
  </si>
  <si>
    <t>For pass through (non-bullet) bonds only. AVERAGE LIFE of the currency swap assuming ASSUMED PREPAYMENT LEVEL</t>
  </si>
  <si>
    <t>Bei pass-through (nicht endfaellingen) SCHULDVERSCHREIBUNGEN: DURCHSCHNITTLICHE RESTLAUFZEIT des Währungsswaps unter der Annahme, dass ANGENOMMENE VORZEITIGE ZAHLUNGEN erfolgen</t>
  </si>
  <si>
    <t>LOAN BALANCE in DEFAULT CURRENCY</t>
  </si>
  <si>
    <t>KREDITSALDO  in STANDARDWÄHRUNG</t>
  </si>
  <si>
    <t>Valor en la DIVISA ESTÁNDAR</t>
  </si>
  <si>
    <t>LOAN BALANCE of Loans in COVER POOL in DEFAULT CURRENCY (use spot rate for currency conversion)</t>
  </si>
  <si>
    <t>KREDITSALDO der Kredite in der DECKUNGSMASSE in  der STANDARDWÄHRUNG (zur WÄHRUNGSUMRECHUNG Spot Rate am BERICHTSDATUM heranziehen)</t>
  </si>
  <si>
    <t>Valor de los Préstamos en la DIVISA ESTÁNDAR</t>
  </si>
  <si>
    <t>Analysis of floating rate Covered Bonds: Split by currency of Covered Bonds</t>
  </si>
  <si>
    <t>Analyse variabel verzinslicher GEDECKTER SCHULDVERSCHREIBUNGEN: Aufteilung nach Währung der GEDECKTEN SCHULDVERSCHREIBUNGEN</t>
  </si>
  <si>
    <t>Análisis de las Cédulas a tipo variable: Distribuido por la divisa de emisión</t>
  </si>
  <si>
    <t>AVERAGE LIFE of the floating rate Covered Bonds assuming no PREPAYMENT. In years.</t>
  </si>
  <si>
    <t>DURCHSCHNITTLICHE RESTLAUFZEIT der variabel verzinslichen Gedeckten Schuldverschreibungen, berechnet unter der Annahme, dass keine VORZEITIGE ZAHLUNGEN  geleistet werden. In Jahren.</t>
  </si>
  <si>
    <t>VIDA MEDIA de las Cédulas sin asumir un NIVEL DE PREPAGOS de los Activos</t>
  </si>
  <si>
    <t>For pass through (non-bullet) bonds only. AVERAGE LIFE of the floating rate Covered Bonds assuming ASSUMED PREPAYMENT LEVEL. In years.</t>
  </si>
  <si>
    <t>Bei pass-through (nicht endfaellingen) SCHULDVERSCHREIBUNGEN:  DURCHSCHNITTLICHE RESTLAUFZEIT der variabel verzinslichen Schuldverschreibungen, berechnet unter der Annahme, dass die ANGENOMMENEN VORZEITIGEN ZAHLUNGEN geleistet werden. In Jahren.</t>
  </si>
  <si>
    <t>VIDA MEDIA de las Cédulas variables considerando un NIVEL DE PREPAGOS ASUMIDO de los Activos (No aplicable en España)</t>
  </si>
  <si>
    <t>DURCHSCHNITTLICHE RESTLAUFZEIT des Währungsswaps unter der Annahme, dass keine VORZEITIGE ZAHLUNGEN erfolgen</t>
  </si>
  <si>
    <t>Hedging (2)</t>
  </si>
  <si>
    <t>Hedging (2) No aplicable a España</t>
  </si>
  <si>
    <t xml:space="preserve">1. Überblick - Tabellenblatt Hedging(1) </t>
  </si>
  <si>
    <t xml:space="preserve">2. Einzelne Swaps - Tabellenblatt Hedging(2) </t>
  </si>
  <si>
    <t>- All Issuers are requested to complete this section. If no swaps are registered in the cover pool, please enter "No swaps" in cell J19.</t>
  </si>
  <si>
    <t>'- Alle Emittenten werden gebeten, Daten in diesem Tabellenblatt anzugeben. Falls keine Swaps im Cover Pool registriert sind, bitte "No swaps" in Zelle J19 eintragen.</t>
  </si>
  <si>
    <t>- Sólo es de aplicación para emisores españoles si los swaps se consideran como parte de la cartera subyacente. Si no se ha entrado en ningún Swap, por favor especificar “No swaps” en la celda J19.</t>
  </si>
  <si>
    <t>Swaps</t>
  </si>
  <si>
    <t>Swap number</t>
  </si>
  <si>
    <t>Swapnummer</t>
  </si>
  <si>
    <t>Número de Swap</t>
  </si>
  <si>
    <t>Issuer Pays - Fix/Float</t>
  </si>
  <si>
    <t>Emittent zahlt - Fest/Variabel</t>
  </si>
  <si>
    <t>Emisor Paga – Fijo/Variable</t>
  </si>
  <si>
    <t>Issuer pays fixed rate or floating rate</t>
  </si>
  <si>
    <t>Emittent zahlt festen oder variablen Zinssatz</t>
  </si>
  <si>
    <t>Emisor paga tipo fijo o variable</t>
  </si>
  <si>
    <t>Issuer Pays - Rate/Margin</t>
  </si>
  <si>
    <t>Emittent zahlt - Rate/Spanne</t>
  </si>
  <si>
    <t>Emisor Paga – Tipo/Margen</t>
  </si>
  <si>
    <t>Use % if issuer pays fixed rate, and margin if issuer pays floating rate. The margin should be in relation to Euribor (or equivalent)</t>
  </si>
  <si>
    <t>In % falls der Emittent eine feste Verzinsung zahlt und Spanne bei variabler Verzinsung. Die Spanne sollte in Relation zu Euribor (oder Equivalent) sein.</t>
  </si>
  <si>
    <t>Utilizar % si el emisor paga tipo fijo, y margen en caso que el emisor pague tipo variable. El margen debe ser en relación al Euribor (o equivalente)</t>
  </si>
  <si>
    <t>Issuer Pays - Basis</t>
  </si>
  <si>
    <t>Emittent zahlt - Basis</t>
  </si>
  <si>
    <t>Emisor Paga – Base</t>
  </si>
  <si>
    <t>Only applicable if issuer pays a floating rate. Example: Euribor 3 months.</t>
  </si>
  <si>
    <t>Nur anwendbar, wenn der Emittent einen variablen Zinssatz zahlt. Beispiel: Euribor 3 Monate. Falls mehrere, bitte "multiple" angeben.</t>
  </si>
  <si>
    <t>Solo aplica, si el emisor paga tipo variable. Ejemplo: Euribor 3M</t>
  </si>
  <si>
    <t>Counterparty Pays - Fix/Float</t>
  </si>
  <si>
    <t>Gegenpartei zahlt - Fest/Variabel</t>
  </si>
  <si>
    <t>Contrapartida Paga – Fijo/Variable</t>
  </si>
  <si>
    <t>Counterparty pays fixed rate or floating rate</t>
  </si>
  <si>
    <t>Gegenpartei zahlt festen oder variablen Zinssatz</t>
  </si>
  <si>
    <t>Contrapartida paga tipo fijo o variable</t>
  </si>
  <si>
    <t>Counterparty Pays - Rate/Margin</t>
  </si>
  <si>
    <t>Gegenpartei zahlt - Rate/Spanne</t>
  </si>
  <si>
    <t>Contrapartida Paga – Tipo/Margen</t>
  </si>
  <si>
    <t>Use % if counterparty pays fixed rate, and margin if counterparty pays floating rate. The margin should be in relation to Euribor (or equivalent)</t>
  </si>
  <si>
    <t>In % falls die Gegenpartei eine feste Verzinsung zahlt und Spanne bei variabler Verzinsung. Die Spanne sollte in Relation zu Euribor (oder Equivalent) sein.</t>
  </si>
  <si>
    <t>Utilizar % si la contrapartida paga tipo fijo, y margen en caso que la contrapartida pague tipo variable. El margen debe ser en relación al Euribor (o equivalente)</t>
  </si>
  <si>
    <t>Counterparty Pays - Basis</t>
  </si>
  <si>
    <t>Gegenpartei zahlt - Basis</t>
  </si>
  <si>
    <t>Contrapartida Paga – Base</t>
  </si>
  <si>
    <t>Only applicable if counterparty pays a floating rate. Example: Euribor 3 months. If more than one, state "multiple"</t>
  </si>
  <si>
    <t>Nur anwendbar, wenn die Gegenpartei einen variablen Zinssatz zahlt. Beispiel: Euribor 3 Monate. Falls mehrere, bitte "multiple" angeben.</t>
  </si>
  <si>
    <t>Solo aplica la contrapartida paga tipo variable. Ejemplo: Euribor 3M. En caso que se más de uno, reportar como “multiple”</t>
  </si>
  <si>
    <t>Currency Paid By Issuer</t>
  </si>
  <si>
    <t>Vom Emittent gezahlte Währung</t>
  </si>
  <si>
    <t>Divisa pagada por el Emisor</t>
  </si>
  <si>
    <t>Currency paid by the issuer</t>
  </si>
  <si>
    <t>Vom Emittenten gezahlte Währung</t>
  </si>
  <si>
    <t>Divisa pagada por el emisor</t>
  </si>
  <si>
    <t>Currency Paid By Counterparty</t>
  </si>
  <si>
    <t>Von der Gegenpartei gezahlte Währung</t>
  </si>
  <si>
    <t>Divisa pagada por la Contrapartida</t>
  </si>
  <si>
    <t>Currency paid by the counterparty</t>
  </si>
  <si>
    <t>Divisa pagada por la contrapartida</t>
  </si>
  <si>
    <t>Current Notional</t>
  </si>
  <si>
    <t>Aktueller Nominalwert</t>
  </si>
  <si>
    <t>Saldo Actual</t>
  </si>
  <si>
    <t>Notional of swap at REPORT DATE. For currency swaps, enter amount in currency paid by the counterparty.</t>
  </si>
  <si>
    <t>Nominalwert des Swaps am BERICHTSSTICHTAG. Für Wechselkurs-Swaps bitte den Betrag der von der Gegenpartei gezahlten Währung angeben.</t>
  </si>
  <si>
    <t>Saldo del Swap a FECHA DEL INFORME. Para Swaps sobre divisas, reportar en la divisa pagada por la contrapartida.</t>
  </si>
  <si>
    <t>Swap Exchange Rate</t>
  </si>
  <si>
    <t>Swap Wechselkurs</t>
  </si>
  <si>
    <t>Tipo de Cambio utilizado en el Swap</t>
  </si>
  <si>
    <t>Exchange rate under the swap, expressed as the number of units of currency paid by the issuer for one unit of the currency paid by the counterparty. If the currencies are the same, enter "1".</t>
  </si>
  <si>
    <t>Devisenkurs im Rahmen des Swaps, ausgedrückt als die Anzahl der Währungseinheiten, die der Emittent für eine Einheit der, von der Gegenpartei bezahlten, Währung gezahlt hat. Falls die Währungen identisch sind, bitte "1" eintragen.</t>
  </si>
  <si>
    <t>Tipo de cambio acordado en el Swap, expresado como el número de unidades de la divisa pagada por el emisor por una unidad de la divisa pagada por la contrapartida. Si ambas divisas son las mismas, reportar “1”.</t>
  </si>
  <si>
    <t>Termination Currency</t>
  </si>
  <si>
    <t>Kündigungs-Währung</t>
  </si>
  <si>
    <t>Divisa de Finalización</t>
  </si>
  <si>
    <t>Currency of any early termination payment under the swap</t>
  </si>
  <si>
    <t>Währung einer vorzeitigen Kündigungszahlung aus dem Swaps</t>
  </si>
  <si>
    <t>Divisa de una cancelación anticipada estipulada en el Swap.</t>
  </si>
  <si>
    <t>Termination Notional</t>
  </si>
  <si>
    <t>Kündigungs-Nominalwert</t>
  </si>
  <si>
    <t>Saldo de Finalización</t>
  </si>
  <si>
    <t>Notional of swap expected at its scheduled termination date (in the currency paid by the counterparty)</t>
  </si>
  <si>
    <t xml:space="preserve">Erwarteter Nominalwert des Swaps zum geplanten Kündigungstermin (in der, von der Gegenpartei gezahlten, Währung) . </t>
  </si>
  <si>
    <t>Saldo esperado del Swap en su fecha de finalización (en la divisa pagada por la contrapartida).</t>
  </si>
  <si>
    <t>Termination Date (dd/mm/yyyy)</t>
  </si>
  <si>
    <t>Kündigungs-Datum (TT/MM/JJJJ)</t>
  </si>
  <si>
    <t>Fecha de Finalización</t>
  </si>
  <si>
    <t>Scheduled termination date under the swap</t>
  </si>
  <si>
    <t>Geplantes Kündigungsdatum im Rahmen des Swaps.</t>
  </si>
  <si>
    <t>Fecha de finalización programada del Swap</t>
  </si>
  <si>
    <t>Swap Profile</t>
  </si>
  <si>
    <t>Swap-Profil</t>
  </si>
  <si>
    <t>Perfil del Swap</t>
  </si>
  <si>
    <t>Profile of swap</t>
  </si>
  <si>
    <t>VIDA MEDIA (estresado)</t>
  </si>
  <si>
    <t>AVERAGE LIFE of swap assuming no PREPAYMENT on Assets</t>
  </si>
  <si>
    <t>DURCHSCHNITTLICHE RESTLAUFZEIT des Swaps unter der Annahme, dass keine VORZEITIGEN ZAHLUNGEN auf die Vermögenswerte erfolgen</t>
  </si>
  <si>
    <t>VIDA MEDIA del Swap sin asumir ningún PREPAGO</t>
  </si>
  <si>
    <t>VIDA MEDIA (esperado)</t>
  </si>
  <si>
    <t>For amortising swap, AVERAGE LIFE of swap assuming Assets follow ASSUMED PREPAYMENT LEVEL. For non-amortising swap this should be "NA"</t>
  </si>
  <si>
    <t>Bei einem amortisierenden Swap die DURCHSCHNITTLICHE RESTLAUFZEIT des Swaps unter der Annahme, dass die ANGENOMMENEN VORZEITIGEN ZAHLUNGEN geleistet werden. Bei einem nicht amortisierenden Swap geben Sie "NA" ein</t>
  </si>
  <si>
    <t>VIDA MEDIA del swap asumiendo PREPAGOS ESPERADOS. Para swap que no amortizan debe reportarse "n/a"</t>
  </si>
  <si>
    <t>Swap Counterparty</t>
  </si>
  <si>
    <t>Swap-Kontrahent</t>
  </si>
  <si>
    <t>Contrapartida del Swap</t>
  </si>
  <si>
    <t>Full name of swap counterparty</t>
  </si>
  <si>
    <t>Vollständiger Name des Swap-Kontrahenten</t>
  </si>
  <si>
    <t>Nombre completo de la Contrapartida del Swap</t>
  </si>
  <si>
    <t>Moody's Rating</t>
  </si>
  <si>
    <t>Rating von Moody's</t>
  </si>
  <si>
    <t>Rating de Moody's</t>
  </si>
  <si>
    <t>Swap counterparty Moody's rating</t>
  </si>
  <si>
    <t>Rating von Moody's für den Swap-Kontrahenten</t>
  </si>
  <si>
    <t>Rating de Moody's de la Contrapartida del Swap</t>
  </si>
  <si>
    <t>S&amp;P Rating</t>
  </si>
  <si>
    <t>Rating von S&amp;P</t>
  </si>
  <si>
    <t>Rating de S&amp;P</t>
  </si>
  <si>
    <t>Swap counterparty S&amp;P rating</t>
  </si>
  <si>
    <t>Rating von S&amp;P für den Swap-Kontrahenten</t>
  </si>
  <si>
    <t>Rating de S&amp;P de la Contrapartida del Swap</t>
  </si>
  <si>
    <t>Fitch Rating</t>
  </si>
  <si>
    <t>Rating von Fitch</t>
  </si>
  <si>
    <t>Rating de Fitch</t>
  </si>
  <si>
    <t>Swap counterparty Fitch rating</t>
  </si>
  <si>
    <t>Rating von Fitch für den Swap-Kontrahenten</t>
  </si>
  <si>
    <t>Rating de Fitch de la Contrapartida del Swap</t>
  </si>
  <si>
    <t>ISSUER DEFAULT</t>
  </si>
  <si>
    <t>ZAHLUNGSAUSFALL DES EMITTENTEN</t>
  </si>
  <si>
    <t>DEFAULT DEL EMISOR</t>
  </si>
  <si>
    <t>Does swap survive ISSUER DEFAULT?</t>
  </si>
  <si>
    <t>Besteht der Swap bei einem ZAHLUNGSAUSFALL DES EMITTENTEN weiter?</t>
  </si>
  <si>
    <t>¿Continúa el swap luego de que el emisor haga DEFAULT?</t>
  </si>
  <si>
    <t>Collateral Posting - Issuer</t>
  </si>
  <si>
    <t>Hinterlegung von Sicherheiten - Emittent</t>
  </si>
  <si>
    <t>Posteo de Colateral por parte del Emisor</t>
  </si>
  <si>
    <t>Do any collateral posting requirements apply to the issuer? Ignore the return of collateral posted by the swap counterparty.</t>
  </si>
  <si>
    <t>Gilt für den Emittenten eine Verpflichtung zur Hinterlegung von Sicherheiten? Ignorieren Sie die Rückgabe der vom Swap-Kontrahenten gestellten Sicherheiten.</t>
  </si>
  <si>
    <t>¿Debe el emisor postear colateral?</t>
  </si>
  <si>
    <t>Collateral Posting - Counterparty</t>
  </si>
  <si>
    <t>Hinterlegung von Sicherheiten - Gegenpartei</t>
  </si>
  <si>
    <t>Posteo de Colateral por parte de la Contrapartida</t>
  </si>
  <si>
    <t>Do any collateral posting requirements apply to the swap counterparty? Contractual provisions only - ignore collateral posting under EMIR.</t>
  </si>
  <si>
    <t>Gilt für die Swap-Gegenpartei eine Anforderung zur Hinterlegung von Sicherheiten? Nur vertragliche Bestimmungen - Hinterlegung von Sicherheiten unter EMIR ignorieren.</t>
  </si>
  <si>
    <t>¿Debe la contrapartida del swap postear colateral?</t>
  </si>
  <si>
    <t>Counterparty Posting - Rating Triggers</t>
  </si>
  <si>
    <t>Kontrahentenbuchung - Rating-Trigger</t>
  </si>
  <si>
    <t>Rating posteo de colateral por parte de la Contrapartida</t>
  </si>
  <si>
    <t>Do particular collateral requirements apply to the counterparty if it no longer has a minimum credit rating or assessment? If so, enter the minimum rating/assessment below.</t>
  </si>
  <si>
    <t>Bestehen für die Gegenpartei besondere Anforderungen an die Sicherheiten, wenn sie keine Mindestrating oder -bewertung mehr aufweist? Wenn ja, geben Sie unten die Mindestbewertung ein</t>
  </si>
  <si>
    <t>¿A partir de qué rating de Moody's debe la contrapartida postear colateral?</t>
  </si>
  <si>
    <t>Counterparty Replacement - Rating Triggers</t>
  </si>
  <si>
    <t>Ersatz der Gegenpartei</t>
  </si>
  <si>
    <t>Requerimiento de rating</t>
  </si>
  <si>
    <t>Do transfer requirements apply to the counterparty if it no longer has a minimum credit rating or assessment? If so, enter the minimum rating/assessment below.</t>
  </si>
  <si>
    <t>Treten für die Gegenpartei Transferanforderungen auf, wenn sie keine Mindestbonität oder -bewertung mehr aufweist? Wenn ja, geben Sie unten die Mindestbewertung ein.</t>
  </si>
  <si>
    <t>¿Es necesario que la contrapartida tenga cierto rating?</t>
  </si>
  <si>
    <t>QUALIFYING SWAP?</t>
  </si>
  <si>
    <t>QUALIFIZIERTER SWAP?</t>
  </si>
  <si>
    <t>¿CALIFICA EL SWAP?</t>
  </si>
  <si>
    <t>Is the swap a QUALIFYING SWAP?</t>
  </si>
  <si>
    <t>Handelt es sich bei dem Swap um einen QUALIFIZIERTEN SWAP?</t>
  </si>
  <si>
    <t>¿Cumple el swap con las condiciones para ser ELEGIBLE?</t>
  </si>
  <si>
    <t>Hedging (3)</t>
  </si>
  <si>
    <t>- below are 2 tables to be completed, labelled 3.1 and 3.2</t>
  </si>
  <si>
    <t>- die folgenden 2 Tabellen mit den Nummern 3.1 und 3.2 sind auszufüllen.</t>
  </si>
  <si>
    <t>- A continuación se muestran 2 tablas para ser rellenadas, numeradas 3.1. y 3.2.</t>
  </si>
  <si>
    <t>- all Issuers should complete the historic data fields for the historic 4 quarters in 3.1 and 3.2 (this data will only be available after close). All  Issuers are requested to complete all fields of all relevant tables.</t>
  </si>
  <si>
    <t>- alle Emittenten sollten die Felder für die historischen Daten aus den letzten vier Quartalen in den Tabellen 3.1 und 3.2 ausfüllen (die Daten sind erst nach Closing verfügbar). Alle Emittenten sollten alle Felder und alle relevanten Tabellen ausfüllen.</t>
  </si>
  <si>
    <t xml:space="preserve">- Todos los emisores deben completar los campos de datos históricos de los últimos 4 trimestres en 3.1. y 3.2.(esta información sólo es disponible tras la primera emisión). </t>
  </si>
  <si>
    <t>- all data should be entered in the DEFAULT CURRENCY.</t>
  </si>
  <si>
    <t>- alle Daten sind in der STANDARDWÄHRUNG einzutragen.</t>
  </si>
  <si>
    <t>-Todos los datos deben ser en la Divisa Estándar</t>
  </si>
  <si>
    <t>- under tables 3.1, cash-flows covered by swaps should be calculated using the foreign exchange rate given by those Swaps. Any remaining cash-flows not covered by Swaps (e.g. (i) cash flows arising from assets or in respect of Covered Bonds, after the maturity date of any applicable Swaps, (ii) cash flows arising from assets or in respect of Covered Bonds which are otherwise not covered by any Swaps) should be calculated using the relevant foreign exchange rate at the REPORT DATE. Under 3.2, where it is assumed that Swaps should be ignored, the cash-flows should be calculated using the relevant foreign exchange rate at the REPORT DATE.</t>
  </si>
  <si>
    <t xml:space="preserve">- unter 3.1. sollten die Cash Flows der Swaps mittels der durch diese Swaps vorgegebenen Umrechnungskurse berechnet werden. Weitere Cash Flows, die nicht durch diese Swaps abgedeckt sind (z.B. (i) Cash Flows aus Darlehen oder GEDECKTEN SCHULDVERSCHREIBUNGEN, deren Fälligkeit nach der Fälligkeit der Swaps ist, (ii) Cash Flows aus Darlehen oder GEDECKTEN SCHULDVERSCHREIBUNGEN, die nicht durch irgendwelche SWAPs abgesichert sind), sollten mittels der entsprechenden Devisenkurs am BERICHTSDATUM berechnet werden.  Unter 3.3 - alle SWAPS werden hier ignoriert - sollten alle Cash Flows mittels der entsprechenden Devisenkurs am BERICHTSDATUM berechnet werden.  </t>
  </si>
  <si>
    <t>- La conversión de la divisa, debe realizarse al tipo oficial de cambio en la FECHA DEL INFORME. En el caso español, no debe tenerse en cuenta ninguna consideración de las swaps ya que no se consideran parte de la cartera subyacente.</t>
  </si>
  <si>
    <t>- the amounts received by the Issuer should be calculated after taking into account all relevant costs (e.g. swap counterparty and servicing costs). If these are not included below these should be communicated to Moody's.</t>
  </si>
  <si>
    <t>- die vom Emittenten erhaltenen Beträge sind nach Berücksichtigung aller relevanten Kosten (z.B. Kosten für den Swap-Kontrahenten und die Schuldenbedienung) zu berechnen. Wenn diese Kosten nicht unten berücksichtigt werden, ist Moody's davon sowie von ihrer Höhe in Kenntnis zu setzen.</t>
  </si>
  <si>
    <t>- Las cantidades recibidas por el Emisor deben considerarse netas de costes (p.ej. Costes de administración). En caso contrario se deberá comunicar a Moody's que no se han tenido en consideración.</t>
  </si>
  <si>
    <t>- for historic fields use actual cashflows received in these periods - do not estimate historic cashflows from forward rates.</t>
  </si>
  <si>
    <t>- bei Feldern zu historischen Daten sind die tatsächlich in diesem Zeitraum angefallenen Cashflows zu verwenden, keine Schätzungen historischer Cashflows auf der Grundlage der Forward-Sätze.</t>
  </si>
  <si>
    <t>- Los datos históricos pasados no deben ser estimados p.ej. utilizando las curvas forward, sino considerando el dinero realmente recibido</t>
  </si>
  <si>
    <t>- for the calculation of interest payments, if a fixed asset has reached its reset date, it shall be treated as floating asset from that date on. To determine the interest payment the respective forward rate should be used topped up with the weighted average margin for floating rate assets. Use weighted average margin of fixed rate assets, if no weighted average margin for floating rate assets is available, or it cannot be used for any reason - please let Moody's know the reason. For floating rate assets, the forward rate shall be used until maturity of the asset, plus the actual margin of the asset.</t>
  </si>
  <si>
    <t>- Zur Berechnung von Zinszahlungen sind fest verzinsliche Vermögenswerte ab dem Zinsanpassungstermin wie variabel verzinsliche zu behandeln. Zur Festlegung der Zinszahlung sollte der jeweilige Forward Satz verwendet werden, zuzueglich der gewichteten durchschnittlichen Marge für variabel verzinsliche Vermögenswerte. Ist die gewichtete durchschnittlichen Marge für variabel verzinsliche Vermögenswerte nicht verfügbar, oder ist aus einem anderen Grund (bitte nennen) nicht heranziehbar, kann die die gewichtete durchschnittlichen Marge für fest verzinsliche Vermögenswerte benutzt werden. Für variabel verzinsliche Vermögenswerte bitte den Forward Satz bis zur Fälligkeit des Vermögenswertes benutzen, plus der entsprechenden Marge des Vermögenswertes.</t>
  </si>
  <si>
    <t>- A la hora de calcular los pagos de intereses, si en la proyección el préstamo a tipo fijo se convierte en variable, debe ser tratado como variable a partir de dicha fecha. Para determinar el tipo de interés se deberá utilizar la curva forward apropiada teniendo en cuenta el margen ponderado de los activos.</t>
  </si>
  <si>
    <t>Please follow hyperlinks below to reach the relevant tables and click on the activated cell to come back:</t>
  </si>
  <si>
    <t>Zur Dateneingabe klicken Sie auf die untenstehenden Hyperlinks.</t>
  </si>
  <si>
    <t>Siga los hyperlinks para ir a las tablas y haga click en la celda con el título para volver atrás</t>
  </si>
  <si>
    <t>3.1 Cashflows calculated taking into account Swaps and assuming no PREPAYMENT</t>
  </si>
  <si>
    <t>3.1 Cashflows unter Berücksichtung Swaps und unter der Annahme, dass keine VORZEITIGEN ZAHLUNGEN geleistet werden</t>
  </si>
  <si>
    <t>3.1. Cashflows calculados teniendo en cuenta Swaps sin asumir PREPAGOS</t>
  </si>
  <si>
    <t>3.2 Cashflows calculated taking into account QUALIFYING SWAPS and using the ASSUMED PREPAYMENT LEVEL</t>
  </si>
  <si>
    <t>3.2 Cashflows unter Berücksichtigung QUALIFIZIERTER SWAPS und unter der Annahme, dass die ANGENOMMENEN VORZEITIGEN ZAHLUNGEN geleistet werden</t>
  </si>
  <si>
    <t>3.2. Cashflows calculados teniendo en cuenta Swaps cualificados considerando el NIVEL DE PREPAGOS ASUMIDO</t>
  </si>
  <si>
    <t>3.2 Cashflows calculated ignoring all swaps and assuming no PREPAYMENTS</t>
  </si>
  <si>
    <t>3.2 Cashflows ohne Berücksichtung von Swaps und unter der Annahme, dass keine VORZEITIGEN ZAHLUNGEN geleistet werden</t>
  </si>
  <si>
    <t>3.2. Cashflows calculados ignorando Swaps y  sin asumir PREPAGOS</t>
  </si>
  <si>
    <t>3.4 Cashflows calculated ignoring all swaps and assuming ASSUMED PREPAYMENT LEVEL</t>
  </si>
  <si>
    <t>3.4 Cashflows ohne Berücksichtigung von Swaps und unter der Annahme, dass die ANGENOMMENEN VORZEITIGEN ZAHLUNGEN geleistet werden</t>
  </si>
  <si>
    <t>3.4. Cashflows calculados ignorando Swaps y considerando el NIVEL DE PREPAGOS ASUMIDO</t>
  </si>
  <si>
    <t>3.1 Cashflows calculated taking into account QUALIFYING SWAPS and assuming no PREPAYMENT</t>
  </si>
  <si>
    <t>3.1 Cashflows unter Berücksichtung QUALIFIZIERTER SWAPS und unter der Annahme, dass keine VORZEITIGEN ZAHLUNGEN geleistet werden</t>
  </si>
  <si>
    <t>3.1. Cashflows calculados teniendo en cuenta Swaps cualificados sin asumir PREPAGOS</t>
  </si>
  <si>
    <t>Quarters</t>
  </si>
  <si>
    <t>Quartale</t>
  </si>
  <si>
    <t>Trimestres</t>
  </si>
  <si>
    <t>Cover-Pool (assets)</t>
  </si>
  <si>
    <t>Vermögenswerte in der DECKUNGSMASSE</t>
  </si>
  <si>
    <t>Cartera Subyacebte (Activos)</t>
  </si>
  <si>
    <t>Fixed rate assets</t>
  </si>
  <si>
    <t>fest verzinsliche Vermögenswerte</t>
  </si>
  <si>
    <t>Activos a tipo fijo</t>
  </si>
  <si>
    <t>Principal Received</t>
  </si>
  <si>
    <t>Erhaltene Tilgungszahlungen</t>
  </si>
  <si>
    <t>Principal Recibido</t>
  </si>
  <si>
    <t>Interest Received</t>
  </si>
  <si>
    <t>Erhaltene Zinszahlungen</t>
  </si>
  <si>
    <t>Interés Recibido</t>
  </si>
  <si>
    <t>Floating rate assets</t>
  </si>
  <si>
    <t>variabel verzinsliche Vermögenswerte</t>
  </si>
  <si>
    <t>Activos a tipo variable</t>
  </si>
  <si>
    <t>Covered Bonds (liabilities)</t>
  </si>
  <si>
    <t>gedeckte Schuldverschreibungen (Verbindlichkeiten)</t>
  </si>
  <si>
    <t>Cédulas (Pasivos)</t>
  </si>
  <si>
    <t>Fixed rate liabilities</t>
  </si>
  <si>
    <t>fest verzinsliche Verbindlichkeiten</t>
  </si>
  <si>
    <t>Cédulas a tipo fijo</t>
  </si>
  <si>
    <t>Principal Paid</t>
  </si>
  <si>
    <t>Gezahlt Tilgungszahlungen</t>
  </si>
  <si>
    <t>Interest Paid</t>
  </si>
  <si>
    <t>Gezahlt Zinszahlungen</t>
  </si>
  <si>
    <t>Floating rate liabilities</t>
  </si>
  <si>
    <t>variabel verzinsliche Verbindlichkeiten</t>
  </si>
  <si>
    <t>Cédulas a tipo variable</t>
  </si>
  <si>
    <t>fixed rate Assets</t>
  </si>
  <si>
    <t>floating rate Assets</t>
  </si>
  <si>
    <t>fixed rate liabilities</t>
  </si>
  <si>
    <t>floating rate liabilities</t>
  </si>
  <si>
    <t>3.3 Cashflows calculated ignoring all swaps and assuming no PREPAYMENTS</t>
  </si>
  <si>
    <t>3.3 Cashflows ohne Berücksichtung von Swaps und unter der Annahme, dass keine VORZEITIGEN ZAHLUNGEN geleistet werden</t>
  </si>
  <si>
    <t>3.3. Cashflows calculados ignorando Swaps y  sin asumir PREPAGOS</t>
  </si>
  <si>
    <t>Outstanding principal at beginning of period</t>
  </si>
  <si>
    <t>Ausstehendes Nominal am Anfang des Quartals</t>
  </si>
  <si>
    <t>Saldo vivo al comienzo del periodo</t>
  </si>
  <si>
    <t>Nominal Assets Balance</t>
  </si>
  <si>
    <t>Nominaler Vermögenswerte</t>
  </si>
  <si>
    <t>Valor nominal de los activos</t>
  </si>
  <si>
    <t>Additional fields for Hedging (1) sheet</t>
  </si>
  <si>
    <t>Notional of Currency Swap &lt; 5 years</t>
  </si>
  <si>
    <t>Nominalwert der Währungsswaps &lt; 5 Jahre</t>
  </si>
  <si>
    <t>No aplicable a Cédulas</t>
  </si>
  <si>
    <t>Notional of Currency Swaps with AVERAGE LIFE of less than 5 years</t>
  </si>
  <si>
    <t>Nominalwert der Währungsswaps mit einer DURCHSCHNITTLICHEN LAUFZEIT &lt; 5 Jahren</t>
  </si>
  <si>
    <t>Notional of Currency Swap 5 -&lt;10 years</t>
  </si>
  <si>
    <t>Nominalwert der Währungsswaps 5 - &lt;10 Jahre</t>
  </si>
  <si>
    <t>Notional of Currency Swaps with AVERAGE LIFE of 5 - &lt;10 years</t>
  </si>
  <si>
    <t>Nominalwert der Währungsswaps mit einer DURCHSCHNITTLICHEN LAUFZEIT von 5 - &lt; 10 Jahren</t>
  </si>
  <si>
    <t>Notional of Currency Swap 10 -&lt;15 years</t>
  </si>
  <si>
    <t>Nominalwert der Währungsswaps 10 - &lt;15 Jahre</t>
  </si>
  <si>
    <t>Notional of Currency Swaps with AVERAGE LIFE of 10 - &lt;15 years</t>
  </si>
  <si>
    <t>Nominalwert der Währungsswaps mit einer DURCHSCHNITTLICHEN LAUFZEIT von 10 - &lt; 15 Jahren</t>
  </si>
  <si>
    <t>Notional of Currency Swap 15 -&lt;25 years</t>
  </si>
  <si>
    <t>Nominalwert der Währungsswaps 15 - &lt;25 Jahre</t>
  </si>
  <si>
    <t>Notional of Currency Swaps with AVERAGE LIFE of 15 - &lt;25 years</t>
  </si>
  <si>
    <t>Nominalwert der Währungsswaps mit einer DURCHSCHNITTLICHEN LAUFZEIT von 15 - &lt; 25 Jahren</t>
  </si>
  <si>
    <t>Notional of Currency Swap 25 - &gt;25 years</t>
  </si>
  <si>
    <t>Nominalwert der Währungsswaps 25 Jahre und laenger</t>
  </si>
  <si>
    <t>Notional of Currency Swaps with AVERAGE LIFE of 25 and above years</t>
  </si>
  <si>
    <t>Nominalwert der Währungsswaps mit einer DURCHSCHNITTLICHEN LAUFZEIT mehr als 25 Jahren</t>
  </si>
  <si>
    <t>Average Currency Rate of Currency Swaps &lt; 5 years</t>
  </si>
  <si>
    <t>Durchschnittlicher Währungskurs der Währungsswaps &lt; 5 Jahre</t>
  </si>
  <si>
    <t>Average Currency Exchange Rate of Currency Swaps with an AVERAGE LIFE of less than 5 years</t>
  </si>
  <si>
    <t>Durchschnittlicher Währungskurs der Währungsswaps mit einer DURCHSCHNITTLICHEN LAUFZEIT &lt; 5 Jahre</t>
  </si>
  <si>
    <t>Average Currency Rate of Currency Swaps 5 -&lt;10 years</t>
  </si>
  <si>
    <t>Durchschnittlicher Währungskurs der Währungsswaps 5 - &lt; 10 Jahre</t>
  </si>
  <si>
    <t>Average Currency Exchange Rate of Currency Swaps with an AVERAGE LIFE of 5 - &lt;10 years</t>
  </si>
  <si>
    <t>Durchschnittlicher Währungskurs der Währungsswaps mit einer DURCHSCHNITTLICHEN LAUFZEIT von 5 - &lt; 10 Jahren</t>
  </si>
  <si>
    <t>Average Currency Rate of Currency Swaps 10 -&lt;15 years</t>
  </si>
  <si>
    <t>Durchschnittlicher Währungskurs der Währungsswaps 10 - &lt; 15 Jahre</t>
  </si>
  <si>
    <t>Average Currency Exchange Rate of Currency Swaps with an AVERAGE LIFE of 10 - &lt;15 years</t>
  </si>
  <si>
    <t>Durchschnittlicher Währungskurs der Währungsswaps mit einer DURCHSCHNITTLICHEN LAUFZEIT von 10 - &lt; 15 Jahren</t>
  </si>
  <si>
    <t>Average Currency Rate of Currency Swaps 15 -&lt;25 years</t>
  </si>
  <si>
    <t>Durchschnittlicher Währungskurs der Währungsswaps 15 - &lt; 25 Jahre</t>
  </si>
  <si>
    <t>Average Currency Exchange Rate of Currency Swaps with an AVERAGE LIFE of 15 - &lt;25 years</t>
  </si>
  <si>
    <t>Durchschnittlicher Währungskurs der Währungsswaps mit einer DURCHSCHNITTLICHEN LAUFZEIT von 15 - &lt; 25 Jahren</t>
  </si>
  <si>
    <t>Average Currency Rate of Currency Swaps 25 - &gt;25 years</t>
  </si>
  <si>
    <t>Durchschnittlicher Währungskurs der Währungsswaps  25 Jahre und laenger</t>
  </si>
  <si>
    <t>Average Currency Exchange Rate of Currency Swaps with an AVERAGE LIFE of 25 and above years</t>
  </si>
  <si>
    <t>Durchschnittlicher Währungskurs der Währungsswaps mit einer DURCHSCHNITTLICHEN LAUFZEIT von mehr als 25 Jahren</t>
  </si>
  <si>
    <t>Additional fields for Over-Collateralisation sheet</t>
  </si>
  <si>
    <t>Overview calculation of NOMINAL OC</t>
  </si>
  <si>
    <t xml:space="preserve"> Nominale ÜBERBESICHERUNG (Übersicht)</t>
  </si>
  <si>
    <t>Cálculo del OC NOMINAL</t>
  </si>
  <si>
    <t>Where assets and/or covered bonds are in different currencies only, reproduce data above but ignore the impact of any currency swaps (i.e. CURRENCY CONVERSION should be at the exchange rate at the Report Date)</t>
  </si>
  <si>
    <t>Sollten Darlehen und/oder GEDECKTE SCHULDVERSCHREIBUNGEN in verschiedenen Währungen vorhanden sein:  Nominale ÜBERBESICHERUNG ohne die Berücksichtigung von Currency Swaps (d.h. WÄHRUNGSUMRECHUNG zur Spot Rate am BERICHTSDATUM)</t>
  </si>
  <si>
    <t>En caso de que los activos estén en diversas divisas, ignorar el impacto de los swaps de divisas (cualquier impacto de swaps debe ser ignorado en el caso de Cédulas)</t>
  </si>
  <si>
    <t>NOMINAL OC currently in COVER POOL based on ELIGIBLE ONLY (ignoring swaps)</t>
  </si>
  <si>
    <t>Aktuelle nominale ÜBERBESICHERUNG, nur deckungsstockfähig (ohne Berücksichtigung von Swaps)</t>
  </si>
  <si>
    <t>OC NOMINAL ELEGIBLE actual en la CARTERA SUBYACENTE</t>
  </si>
  <si>
    <t>NOMINAL OC currently in COVER POOL based on all Assets (i.e. with INELIGIBLE INCLUDED) (ignoring swaps)</t>
  </si>
  <si>
    <t>NOMINALE ÜBERBESICHERUNG in der DECKUNGSMASSE auf der Grundlage der allen Assets (i.e. mit nicht deckungsstockfähig) (Swaps ignorieren)</t>
  </si>
  <si>
    <t>OC NOMINAL actual basado en todos los ACTIVOS en la CARTERA SUBYACENTE</t>
  </si>
  <si>
    <t>Nominal value of Covered Bonds in issue (ignoring swaps)</t>
  </si>
  <si>
    <t>NOMINALWERT der emittierten GEDECKTEN SCHULDVERSCHREIBUNGEN (ohne die Berücksichtigung von Swaps)</t>
  </si>
  <si>
    <t>Nominal value of COVER POOL (including substitute collateral) (ignoring swaps)</t>
  </si>
  <si>
    <t>Nominalwert der DECKUNGSMASSE (inkl. Ersatzsicherheiten) (ohne die Berücksichtigung von Swaps)</t>
  </si>
  <si>
    <t>Valor nominal del ACTIVO SUBYACENTE</t>
  </si>
  <si>
    <t>NPV of COVER POOL (STRESS 5)</t>
  </si>
  <si>
    <t>Barwert der DECKUNGSMASSE (STRESS 5)</t>
  </si>
  <si>
    <t>NPV de la CARTERA SUBYACENTE STRESS 5</t>
  </si>
  <si>
    <t>NPV of COVER POOL (STRESS 6)</t>
  </si>
  <si>
    <t>Barwert der DECKUNGSMASSE (STRESS 6)</t>
  </si>
  <si>
    <t>NPV de la CARTERA SUBYACENTE STRESS 6</t>
  </si>
  <si>
    <t>NPV of Covered Bonds (STRESS 5)</t>
  </si>
  <si>
    <t>Barwert der Gedeckten Schuldverschreibungen (STRESS 5)</t>
  </si>
  <si>
    <t>NPV de las Cédulas STRESS 6</t>
  </si>
  <si>
    <t>NPV of Covered Bonds (STRESS 6)</t>
  </si>
  <si>
    <t>Barwert der Gedeckten Schuldverschreibungen (STRESS 6)</t>
  </si>
  <si>
    <t>Additional fields for CB Programme Overview sheet</t>
  </si>
  <si>
    <t>Exchange Rates Information</t>
  </si>
  <si>
    <t>Information über die verwendeten Umrechnungskurse bei Fremdwährungen</t>
  </si>
  <si>
    <t>Información sobre tipos de cambio</t>
  </si>
  <si>
    <t>Default Currency</t>
  </si>
  <si>
    <t>STANDARDWÄHRUNG</t>
  </si>
  <si>
    <t>DIVISA ESTÁNDAR</t>
  </si>
  <si>
    <t>Date</t>
  </si>
  <si>
    <t>Fecha</t>
  </si>
  <si>
    <t>Foreign Currency</t>
  </si>
  <si>
    <t>Fremdwährung</t>
  </si>
  <si>
    <t xml:space="preserve">DIVISA </t>
  </si>
  <si>
    <t>Spot exchange rate: number of units of the DEFAULT CURRENCY for one unit of the relevant foreign currency</t>
  </si>
  <si>
    <t>Devisenkassakurs: Anzahl der Einheiten der Standard Währung für eine Einheit der jeweiligen Fremdwährung.</t>
  </si>
  <si>
    <t>Tipo de cambio actual: número de unidades de la DIVISA ESTÁNDAR por una unidad de la divisa relevante.</t>
  </si>
  <si>
    <t>Additional fields for Hedging (4) sheet</t>
  </si>
  <si>
    <t>Hedging (4)</t>
  </si>
  <si>
    <t>4. Interest matching - Hedging (4) page</t>
  </si>
  <si>
    <t>4. Zinsbindung - Tabellenblatt Hedging(4)</t>
  </si>
  <si>
    <t>4. Matching de intereses -Página Heging (4)</t>
  </si>
  <si>
    <t>- This sheet is intended to capture a broad measure of interest rate risk only. Ignore single currency basis swaps when completing this sheet.</t>
  </si>
  <si>
    <t>- Dieses Tabellenblatt dient der Erfassung von Zinsrisiken, unbeachtet Basis-Swaps. In nur einer Währung.</t>
  </si>
  <si>
    <t>- La siguiente hoja pretende capturar a nivela gregado el riesgo de tipo de interés. Ignorar cualquier swap de divisas aplicable al completar esta hoja (en caso de Cédulas cualquier referencia a swaps no es aplicable).</t>
  </si>
  <si>
    <t>- Similarly, ignore all structured style swaps ( for example interest linked swaps, equity linked swaps, constant maturity swaps, etc.).</t>
  </si>
  <si>
    <t>- Vernachlässigen Sie ebenso strukturierte (z.B. "interest linked-", "equity-linked" oder "constant maturity-") Swaps.</t>
  </si>
  <si>
    <t>- De igual modo ignorar cualquier swap estructurado (p.ej. Interest linked swaps, equity linked swaps, cms, etc.)</t>
  </si>
  <si>
    <t>- Both table below should be completed.</t>
  </si>
  <si>
    <t>- Bitte beide Tabellen ausfüllen.</t>
  </si>
  <si>
    <t>- Las siguientes dos tablas deben rellenarse (en el caso de Cédulas sólo primera tabla)</t>
  </si>
  <si>
    <t>- All data should be given in DEFAULT CURRENCY.</t>
  </si>
  <si>
    <t>- Alle Angaben in STANDARDWÄHRUNG.</t>
  </si>
  <si>
    <t>- Todos los datos deben ser referenciados a la DIVISA ESTÁNDAR</t>
  </si>
  <si>
    <t>- Where there is any such "structured style swap" communicate these to Moody's. These swaps need to be considered on their individual merits.</t>
  </si>
  <si>
    <t>- Sind strukturierte Swaps vorhanden, sind die entsprenchenden Informationen Moody's zu übermitteln. Diese Swaps werden auf Einzelfallbasis analysiert.</t>
  </si>
  <si>
    <t>- En caso de swaps estructurados comunicárselo a Moody's (ignorar esto para Cédulas).</t>
  </si>
  <si>
    <t>1) Complete table in DEFAULT CURRENCY. Amounts should be translated into the DEFAULT CURRENCY using the exchange rate at the REPORT DATE (igoring the impact of currency swaps)</t>
  </si>
  <si>
    <t>1) Bitte die Tabelle in STANDARDWÄHRUNG ausfüllen. Umrechnung zum Wechselkurs zum BERICHTSDATUM, unbeachtet Zinsswaps.</t>
  </si>
  <si>
    <t>- Completar la tabla en la DIVISA ESTÁNDAR. Las cantidades se deben calcular aplicanto el tipo de cambio de la dIVISA ESTÁNDAR a FECHA DE INFORME (ignorando cualquier referencia a swap de divisas).</t>
  </si>
  <si>
    <t>Before taking account of interest-rate swaps</t>
  </si>
  <si>
    <t>Vor Berücksichtigung von Zinsswaps</t>
  </si>
  <si>
    <t>Antes de tener en cuenta los derivados</t>
  </si>
  <si>
    <t>After taking account of interest-rate swaps</t>
  </si>
  <si>
    <t>Nach Berücksichtigung von Zinsswaps</t>
  </si>
  <si>
    <t>Luego de tener en cuenta los derivados</t>
  </si>
  <si>
    <t>Volume of Cover Pool</t>
  </si>
  <si>
    <t>Volumen des Deckungsstocks</t>
  </si>
  <si>
    <t>Saldo del la CARTERA SUBYACENTE</t>
  </si>
  <si>
    <t>Volume of Covered Bonds</t>
  </si>
  <si>
    <t>Volumen der Pfandbriefe</t>
  </si>
  <si>
    <t>Saldo de las Céduals vivas</t>
  </si>
  <si>
    <t>Floating rate or Fixed rate with reset ≤1 years</t>
  </si>
  <si>
    <t>Variable oder fixe Verzinsung, Zinsanpassungstermin &lt; 1 Jahr</t>
  </si>
  <si>
    <t>Tipo variable o tipo fijo a ≤1 año</t>
  </si>
  <si>
    <t>Fixed rate with reset  &gt;1 but ≤ 3 years</t>
  </si>
  <si>
    <t>Fixe Verzinsung mit Zinsanpassungstermin nach  &gt;1 bis ≤ 3 Jahren</t>
  </si>
  <si>
    <t>Tipo fijo a &gt;1 pero ≤ 3 años</t>
  </si>
  <si>
    <t>Fixed rate with reset  &gt;3 but ≤ 5 years</t>
  </si>
  <si>
    <t>Fixe Verzinsung mit Zinsanpassungstermin nach  &gt;3 bis ≤ 5 Jahren</t>
  </si>
  <si>
    <t>Tipo fijo a &gt;3 pero ≤ 5 años</t>
  </si>
  <si>
    <t>Fixed rate with reset  &gt;5 but ≤ 7 years</t>
  </si>
  <si>
    <t>Fixe Verzinsung mit Zinsanpassungstermin nach  &gt;5 bis ≤ 7 Jahren</t>
  </si>
  <si>
    <t>Tipo fijo a &gt;5 pero ≤ 7 años</t>
  </si>
  <si>
    <t>Fixed rate with reset  &gt;7 but ≤ 10 years</t>
  </si>
  <si>
    <t>Fixe Verzinsung mit Zinsanpassungstermin nach  &gt;7 bis ≤ 10 Jahren</t>
  </si>
  <si>
    <t>Tipo fijo a &gt;7 pero ≤ 10 años</t>
  </si>
  <si>
    <t>Fixed rate with reset  &gt;10 but ≤ 15 years</t>
  </si>
  <si>
    <t>Fixe Verzinsung mit Zinsanpassungstermin nach  &gt;10 bis ≤ 15 Jahren</t>
  </si>
  <si>
    <t>Tipo fijo a &gt;10 pero ≤  15 años</t>
  </si>
  <si>
    <t>Fixed rate with reset  &gt;15 but ≤ 25 years</t>
  </si>
  <si>
    <t>Fixe Verzinsung mit Zinsanpassungstermin nach  &gt;15 bis ≤ 25 Jahren</t>
  </si>
  <si>
    <t>Tipo fijo a &gt;15 pero ≤ 25 años</t>
  </si>
  <si>
    <t>Fixed rate with reset  &gt;25 years</t>
  </si>
  <si>
    <t>Fixe Verzinsung mit Zinsanpassungstermin nach &gt; 25 Jahren</t>
  </si>
  <si>
    <t>Tipo fijo a &gt; 25 años</t>
  </si>
  <si>
    <t>2) Complete the following table in DEFAULT CURRENCY. However, where QUALIFYING SWAPS for currency are in place, the amount should be translated into the DEFAULT CURRENCY using the swap exchange rate. Otherwise, the exchange rate used for conversion should be the exchange rate at the REPORT DATE.</t>
  </si>
  <si>
    <t>2) Bitte die folgende Tabelle in STANDARDWÄHRUNG ausfüllen. Falls QUALIFIZIERTE SWAPS eingesetzt werden, bitte Swap-Wechselkurs verwenden. Falls keine QUALIFIZIERTEN SWAPS eingesetzt werden, Wechselkurs zum BERICHTSDATUM verwenden.</t>
  </si>
  <si>
    <t>2) Completar la siguiente tabla en la DIVISA estándar (NO completar en caso de cédulas). Sin embargo, en caso de SWAPS TOTALMENTE o PARCIALMENTE APLICABLES, utilizar la divisa de los mismos usando el tipo de cambio en dichos contratos. En cualquier otro caso utilizar el tipo de cambio en FECHA DE INFORME.</t>
  </si>
  <si>
    <t>Example</t>
  </si>
  <si>
    <t>Beispiel</t>
  </si>
  <si>
    <t>If Issuer enters a 100,000,000 Swap paying fixed for 12 years and receiving 3 months LIBOR, enter 100,000,000 (also in second table, if Swap is QUALIFYING) in :</t>
  </si>
  <si>
    <t>Unter einem 100.000.000 Swap zahlt Emittent 12 Jahre fix und erhaelt 3-Monats-LIBOR. --&gt; Eintrag 100.000.000 (bei QUALIFIZIERTEN SWAPS auch in zweiter Tabelle) in :</t>
  </si>
  <si>
    <t>The sum in each swap column should sum up to the aggregate nominal amount of all swaps.</t>
  </si>
  <si>
    <t>Die Summe jeder Spalte für die Swaps entspricht dem Nominalbetrag aller Swaps.</t>
  </si>
  <si>
    <t>NO. OF BORROWERS</t>
  </si>
  <si>
    <t>ZAHL DER KREDITNEHMER</t>
  </si>
  <si>
    <t>N. De DEUDORES</t>
  </si>
  <si>
    <t>NO. OF LOANS</t>
  </si>
  <si>
    <t>N. De PRÉSTAMOS</t>
  </si>
  <si>
    <t>NO. OF PROPERTIES</t>
  </si>
  <si>
    <t>ZAHL DER IMMOBILIEN</t>
  </si>
  <si>
    <t>N. de Propiedades</t>
  </si>
  <si>
    <t>Total LOAN BALANCE</t>
  </si>
  <si>
    <t>Gesamter KREDITSALDO</t>
  </si>
  <si>
    <t>SALDO VIVO DE PRÉSTAMOS</t>
  </si>
  <si>
    <t>WHAT IS A RESIDENTIAL LOAN</t>
  </si>
  <si>
    <t>WOHNIMMOBILIEN-KREDITE</t>
  </si>
  <si>
    <t>¿CÓMO SE DEFINE UN PRÉSTAMO RESIDENCIAL?</t>
  </si>
  <si>
    <t>- Loans meeting the following criteria should be considered Residential Loans for the purposes of the Moody’s template:
1) typically full recourse to the individual taking out the loan; AND 
2) secured against a residential property; AND
3) not otherwise considered a Commercial Loan. See also the definition of Commercial Loan.</t>
  </si>
  <si>
    <t>Darlehen, die die folgenden Kriterien erfüllen, sollten als Wohnungsbaudarlehen für das Moody's Template betrachtet werden:                                                                                                                                         1) Typischwerweise voller Rückgriff auf den Kreditnehmer; UND                                                                                                                                                                                      2) besichert mit einer Wohnimmobilie; UND
3) nicht anderweitig als Gewerbedarlehen berücksichtigt. Siehe auch die Definition von Gewerbedarlehen.</t>
  </si>
  <si>
    <t xml:space="preserve">Aquellos préstamos que cumplan con los siguientes criterios deberán ser considerados Préstamos Residenciales para el propósito de la plantilla de Moody’s: 
1) Que implique un recurso sobre la persona tomadora del préstamo y ;
2) garantizado por una propiedad residencial; Y
3) no considerado como un Préstamo Comercial. Ver también la definición de Préstamo Comercial.
</t>
  </si>
  <si>
    <t>WHAT IS A COMMERCIAL LOAN?</t>
  </si>
  <si>
    <t>GEWERBLICHE INMOBILIENKREDITE</t>
  </si>
  <si>
    <t>¿CÓMO SE DEFINE UN PRÉSTAMO COMERCIAL?</t>
  </si>
  <si>
    <t>- Moody's prefers COMMERCIAL LOAN data on a loan by loan basis. 
- If COMMERCIAL LOANS make up more than 35% of the COVER POOL by value, please do not use this sheet - but instead the "Commercial LbyL" page should be completed. 
- Where COMMERCIAL LOANS make up less than 35%, data may be provided on a stratified basis on this sheet; but issuers are required to report the loans in respect of the 100 largest borrowers in the sheet “Commercial LbyL”. Please exclude these loans from the stratified data.</t>
  </si>
  <si>
    <t xml:space="preserve">- Moody's bevorzugt Daten auf Einzelkreditbasis (Tabellenblatt "Commercial LbyL"), da dies eine genauere Analyse von GEWERBLICHEN IMMOBILIENKREDITEN ermoeglicht.
- Bitte verwenden Sie dieses Tabellenblatt nicht, falls GEWERBLICHE IMMOBILIENKREDITE mehr als 35% der DECKUNGSMASSE ausmachen.
- Falls GEWERBLICHE IMMOBILIENKREDITE weniger als 35% der DECKUNGSMASSE ausmachen, besteht die Moeglichkeit zur Verwendung dieses Tabellenblattes; bitte jedoch alle Kredite and die groessten 100 Kreditnehmer im Tabellenblatt "Commercial LbyL" auffuehren (Diese Kredite dann nicht im "Stratified"-Blatt beruecksichtigen). </t>
  </si>
  <si>
    <t>- No utilice esta hoja en caso de que los PRÉSTAMOS COMERCIALES representen más del 35% del valor del total de la CARTERA HIPOTECARIA. En ese caso utilice la hoja "Commercial LbyL".
-Si los PRÉSTAMOS COMERCIALES son menores al 35% del valor total de  la CARTERA HIPOTECARIA, puede proporcionar información estratificada en esta hoja sobre dichos préstamos. Sin embargo, registre los préstamos concedidos al los mayores 100 deudores en la hoja  "Commercial LbyL" y exclúyala de esta hoja.</t>
  </si>
  <si>
    <t>Länder</t>
  </si>
  <si>
    <t>Países</t>
  </si>
  <si>
    <t>Australien</t>
  </si>
  <si>
    <t>Österreich</t>
  </si>
  <si>
    <t>Belgien</t>
  </si>
  <si>
    <t>Bélgica</t>
  </si>
  <si>
    <t>Kanada</t>
  </si>
  <si>
    <t>Canadá</t>
  </si>
  <si>
    <t>Dänemark</t>
  </si>
  <si>
    <t>Dinamarca</t>
  </si>
  <si>
    <t>Frankreich</t>
  </si>
  <si>
    <t>Francia</t>
  </si>
  <si>
    <t>Deutschland</t>
  </si>
  <si>
    <t>Alemania</t>
  </si>
  <si>
    <t>Griechenland</t>
  </si>
  <si>
    <t>Grecia</t>
  </si>
  <si>
    <t>Ungarn</t>
  </si>
  <si>
    <t>Hungría</t>
  </si>
  <si>
    <t>Irland</t>
  </si>
  <si>
    <t>Irlanda</t>
  </si>
  <si>
    <t>Italien</t>
  </si>
  <si>
    <t>Italia</t>
  </si>
  <si>
    <t>Japón</t>
  </si>
  <si>
    <t>Niederlande</t>
  </si>
  <si>
    <t>Países Bajos</t>
  </si>
  <si>
    <t>Norwegen</t>
  </si>
  <si>
    <t>Noruega</t>
  </si>
  <si>
    <t>Polen</t>
  </si>
  <si>
    <t>Polonia</t>
  </si>
  <si>
    <t>Finnland</t>
  </si>
  <si>
    <t>Finlandia</t>
  </si>
  <si>
    <t>Spanien</t>
  </si>
  <si>
    <t>España</t>
  </si>
  <si>
    <t>Schweden</t>
  </si>
  <si>
    <t>Suecia</t>
  </si>
  <si>
    <t>Schweiz</t>
  </si>
  <si>
    <t>Suiza</t>
  </si>
  <si>
    <t>Großbritannien</t>
  </si>
  <si>
    <t>Reino Unido</t>
  </si>
  <si>
    <t>Island</t>
  </si>
  <si>
    <t>Islandia</t>
  </si>
  <si>
    <t>Anderes</t>
  </si>
  <si>
    <t>Czech Republic</t>
  </si>
  <si>
    <t>Tschechische Republik</t>
  </si>
  <si>
    <t>República Checa</t>
  </si>
  <si>
    <t>Commercial Classification</t>
  </si>
  <si>
    <t>Einteilung gewerblich genutzter Immobilien</t>
  </si>
  <si>
    <t>Clasificación Comercial</t>
  </si>
  <si>
    <t xml:space="preserve"> Offices (total)</t>
  </si>
  <si>
    <t>Bürogebäude (insgesamt)</t>
  </si>
  <si>
    <t>Offices in CBD</t>
  </si>
  <si>
    <t xml:space="preserve">   Offices in secondary areas</t>
  </si>
  <si>
    <t>Bürogebäude in Randlage</t>
  </si>
  <si>
    <t xml:space="preserve"> Retail (total)</t>
  </si>
  <si>
    <t>Einzelhandelsflächen</t>
  </si>
  <si>
    <t xml:space="preserve"> Industrial (total)</t>
  </si>
  <si>
    <t>Industriegebäude</t>
  </si>
  <si>
    <t>Logistische Gebäude, Lagerflächen</t>
  </si>
  <si>
    <t xml:space="preserve"> Hotel</t>
  </si>
  <si>
    <t xml:space="preserve"> Multifamily</t>
  </si>
  <si>
    <t>Mehrfamilienhäuser</t>
  </si>
  <si>
    <t>Immobilie im Miteigentum der Mieter</t>
  </si>
  <si>
    <t xml:space="preserve"> LAND (Total)</t>
  </si>
  <si>
    <t>GRUNDSTÜCKE (gesamt)</t>
  </si>
  <si>
    <t xml:space="preserve">   Pre-let</t>
  </si>
  <si>
    <t>Vorvermietung</t>
  </si>
  <si>
    <t xml:space="preserve">   No-pre-let</t>
  </si>
  <si>
    <t>Keine Vorvermietung</t>
  </si>
  <si>
    <t xml:space="preserve"> Real Estate Developers</t>
  </si>
  <si>
    <t>Bauunternehmer</t>
  </si>
  <si>
    <t xml:space="preserve"> Other</t>
  </si>
  <si>
    <t>Sonstige</t>
  </si>
  <si>
    <t>Type of Commercial Collateral</t>
  </si>
  <si>
    <t>Typ von als Sicherheit dienenden, gewerblich genutzten Immobilien</t>
  </si>
  <si>
    <t>Tipo de inmueble comercial</t>
  </si>
  <si>
    <t>Industrial (logistical facilities, warehouses)</t>
  </si>
  <si>
    <t>Industriegebäude (logistische Gebäude, Lagerflächen)</t>
  </si>
  <si>
    <t>Industrial (plant, factories)</t>
  </si>
  <si>
    <t>Industriegebäude (Anlagen, Fabriken)</t>
  </si>
  <si>
    <t>Multifamily Landlord</t>
  </si>
  <si>
    <t>Mehrfamilienhäuser, vermietet</t>
  </si>
  <si>
    <t>Multifamily Tenant Co-operative Property</t>
  </si>
  <si>
    <t>Mehrfamilienhäuser, Miteigentum der Mieter</t>
  </si>
  <si>
    <t>LAND (or under construction/completed but never tenanted)</t>
  </si>
  <si>
    <t>GRUNDSTÜCKE (oder in  Bau befindliche / fertiggestellte, aber bisher noch vermietete Gebaeude)</t>
  </si>
  <si>
    <t>Not Commercial</t>
  </si>
  <si>
    <t>Keine gewerbliche Nutzung</t>
  </si>
  <si>
    <t>Version der Vorlage</t>
  </si>
  <si>
    <t>Idioma del Fichero</t>
  </si>
  <si>
    <t>Englisch</t>
  </si>
  <si>
    <t>Inglés</t>
  </si>
  <si>
    <t>Deutsch</t>
  </si>
  <si>
    <t>Alemán</t>
  </si>
  <si>
    <t>Spanisch</t>
  </si>
  <si>
    <t>Espanol</t>
  </si>
  <si>
    <t>Español</t>
  </si>
  <si>
    <t>Asset Types</t>
  </si>
  <si>
    <t>Typen von Vermögenswerten</t>
  </si>
  <si>
    <t>Tipo de Activos</t>
  </si>
  <si>
    <t>Hypotheken für Wohnimmobilien</t>
  </si>
  <si>
    <t>Hipotecarios Residenciales</t>
  </si>
  <si>
    <t>Hypotheken für gewerblich genutzte Immobilien</t>
  </si>
  <si>
    <t>Hipotecarios Comerciales</t>
  </si>
  <si>
    <t>Public Sector</t>
  </si>
  <si>
    <t>Sector Público</t>
  </si>
  <si>
    <t>Substitute collateral</t>
  </si>
  <si>
    <t>Colateral adicional</t>
  </si>
  <si>
    <t>Yes</t>
  </si>
  <si>
    <t>Ja</t>
  </si>
  <si>
    <t>Sí</t>
  </si>
  <si>
    <t>No</t>
  </si>
  <si>
    <t>Nein</t>
  </si>
  <si>
    <t>Only on loss of rating trigger</t>
  </si>
  <si>
    <t>Nur bei Verlust des Rating-Auslösers</t>
  </si>
  <si>
    <t>Sólo a pérdida de rating</t>
  </si>
  <si>
    <t>ENDFALLIGKEIT</t>
  </si>
  <si>
    <t>Pass through</t>
  </si>
  <si>
    <t>Allmähliche Tilgung</t>
  </si>
  <si>
    <t>Other amortising</t>
  </si>
  <si>
    <t>Sonstige Amortisierung</t>
  </si>
  <si>
    <t>Otro tipo amortizativo</t>
  </si>
  <si>
    <t>Semi-Annually</t>
  </si>
  <si>
    <t>Performing</t>
  </si>
  <si>
    <t>Ordnungsgemäße Bedienung</t>
  </si>
  <si>
    <t>Morosidad</t>
  </si>
  <si>
    <t>Performing always</t>
  </si>
  <si>
    <t>Stets ordnungsgemäße Bedienung</t>
  </si>
  <si>
    <t>Corriente de pago siempre</t>
  </si>
  <si>
    <t>Currently performing</t>
  </si>
  <si>
    <t>Derzeit ordnungsgemäße Bedienung</t>
  </si>
  <si>
    <t>Actualmente corriente de pagos</t>
  </si>
  <si>
    <t>Not performing arrears &lt; 2 mts (and not BPI or Fce)</t>
  </si>
  <si>
    <t>Rückstände &lt; 2 Monate</t>
  </si>
  <si>
    <t>En morosidad desde menos de 2 meses</t>
  </si>
  <si>
    <t>Not performing arrears ≥2 mts - &lt; 6 mts (and not BPI or Fce)</t>
  </si>
  <si>
    <t>Rückstände ≥ 2, &lt; 6 Monate</t>
  </si>
  <si>
    <t>En morosidad a más de dos meses</t>
  </si>
  <si>
    <t>Fixed</t>
  </si>
  <si>
    <t>Fijo</t>
  </si>
  <si>
    <t>Floating (capped)</t>
  </si>
  <si>
    <t>Variabel (capped)</t>
  </si>
  <si>
    <t>Variable (con Caps)</t>
  </si>
  <si>
    <t>Floating (no cap)</t>
  </si>
  <si>
    <t>Variabel (kein Cap)</t>
  </si>
  <si>
    <t>Variable (sin Caps)</t>
  </si>
  <si>
    <t>Static</t>
  </si>
  <si>
    <t>Statisch</t>
  </si>
  <si>
    <t>Estático</t>
  </si>
  <si>
    <t>Dynamic</t>
  </si>
  <si>
    <t>Dynamisch</t>
  </si>
  <si>
    <t>Dinámico</t>
  </si>
  <si>
    <t>ASSUMED PREPAYMENT LEVEL</t>
  </si>
  <si>
    <t>Erwartete Vorauszahlung</t>
  </si>
  <si>
    <t>NIVEL DE PREPAGOS ASUMIDO</t>
  </si>
  <si>
    <t>nil prepayment</t>
  </si>
  <si>
    <t>Kein prepayment</t>
  </si>
  <si>
    <t>0% Prepagos</t>
  </si>
  <si>
    <t>NPV</t>
  </si>
  <si>
    <t>BARWERT</t>
  </si>
  <si>
    <t>ELIGIBLE ONLY OC</t>
  </si>
  <si>
    <t>DECKUNGSSTOCKFAHIG</t>
  </si>
  <si>
    <t>Sólo ELEGIBLE</t>
  </si>
  <si>
    <t>Ineligible Included OC</t>
  </si>
  <si>
    <t>Nicht deckungsstockfähig</t>
  </si>
  <si>
    <t>OC NO ELEGIBLE INCLUIDO</t>
  </si>
  <si>
    <t>Direct claim against supranational</t>
  </si>
  <si>
    <t>Direkter Anspruch - Supranational</t>
  </si>
  <si>
    <t>PRÉSTAMOS CON GARANTÍA DE UNA ENTIDAD SUPRANACIONAL</t>
  </si>
  <si>
    <t>Direct claim against sovereign</t>
  </si>
  <si>
    <t>Direkter Anspruch - Staat</t>
  </si>
  <si>
    <t>PRÉSTAMOS CON GARANTÍA DEL ESTADO</t>
  </si>
  <si>
    <t>Loan with guarantee of sovereign</t>
  </si>
  <si>
    <t>Gewährleistet durch Staat</t>
  </si>
  <si>
    <t>PRÉSTAMOS A ENTIDADES PARTICIPADAS POR EL ESTADO</t>
  </si>
  <si>
    <t>Direct claim against region/federal state</t>
  </si>
  <si>
    <t xml:space="preserve">Direkter Anspruch - Regionalregierung </t>
  </si>
  <si>
    <t>PRÉSTAMOS A.A.P.P. REGIONALES</t>
  </si>
  <si>
    <t>Loan with guarantee of region/federal state</t>
  </si>
  <si>
    <t>Gewährleistet durch Regionalregierung</t>
  </si>
  <si>
    <t>PRÉSTAMOS A ENTIDADES PARTICIPADAS AL 100% POR AUTORIDADES REGIONALES</t>
  </si>
  <si>
    <t>Direct claim against municipality</t>
  </si>
  <si>
    <t>Direkter Anspruch - örtliche Gebietskörperschaft</t>
  </si>
  <si>
    <t>PRÉSTAMOS A.A.P.P. LOCALES</t>
  </si>
  <si>
    <t>Loan with guarantee of municipality</t>
  </si>
  <si>
    <t>Gewährleistet durch örtliche Gebietskörperschaft</t>
  </si>
  <si>
    <t>PRÉSTAMOS A ENTIDADES PARTICIPADAS AL 100% POR AUTORIDADES LOCALES</t>
  </si>
  <si>
    <t>PRÉSTAMOS A ENTIDADES PARTICIPADAS MAYORITARIAMENTE POR AUTORIDADES LOCALES/REGIONALES</t>
  </si>
  <si>
    <t>OTRAS</t>
  </si>
  <si>
    <t>Swap with defined principal payment profile - with bullet principal payment</t>
  </si>
  <si>
    <t>Swap mit vereinbartem Amortisationsprofil - ENDFällig</t>
  </si>
  <si>
    <t>Swap with defined principal payment profile - with stepped principal payments</t>
  </si>
  <si>
    <t>Swap mit vereinbartem Amortisationsprofil - amortisierend</t>
  </si>
  <si>
    <t>Swap with no defined payment profile (Balance Guarantee swap)</t>
  </si>
  <si>
    <t>Swap ohne vereinbartes Amortisationsprofil (Balance Guarantee Swap)</t>
  </si>
  <si>
    <t>- 1 year forward looking for both NET CASH and debt service</t>
  </si>
  <si>
    <t>- Naechste 12 Monate für LAUFENDE EINNAHMEN (NETTO) und SCHULDENDIENST</t>
  </si>
  <si>
    <t>- A un año vista tanto para CASH NETO como DEUDA</t>
  </si>
  <si>
    <t>-1 year backward looking for NET CASH and debt service</t>
  </si>
  <si>
    <t>- Letzte 12 Monate für LAUFENDE EINNAHMEN (NETTO) und SCHULDENDIENST</t>
  </si>
  <si>
    <t>- En base a último año tanto para CASH NETO como DEUDA</t>
  </si>
  <si>
    <t>- one quarter forward looking extrapolated forward for both NET CASH and debt service</t>
  </si>
  <si>
    <t>- 1 Quartal, extrapoliert, für LAUFENDE EINNAHMEN (NETTO) und SCHULDENDIENST</t>
  </si>
  <si>
    <t>- A un trimestre vista tanto para CASH NETO como DEDUDA extrapolado a un año</t>
  </si>
  <si>
    <t>-other period consistently applied for both NET CASH and debt service</t>
  </si>
  <si>
    <t>- Betrachteter Zeitraum für LAUFENDE EINNAHMEN (NETTO) = Betr. Zeitr. f. SCHULDENDIENST, jedoch &lt;&gt; 3 oder 12 Monate</t>
  </si>
  <si>
    <t>-Otro periodo igualmente utilizado para CASH NETO y DEUDA</t>
  </si>
  <si>
    <t>- periods used for NET CASH and debt service data are different</t>
  </si>
  <si>
    <t>- Betrachteter Zeitraum für LAUFENDE EINNAHMEN (NETTO) &lt;&gt; Betr. Zeitr. f. SCHULDENDIENST</t>
  </si>
  <si>
    <t>- Periodos distintos para CASH NETO y DEUDA</t>
  </si>
  <si>
    <t>Initiate Input of Data</t>
  </si>
  <si>
    <t>Dateneingabe beginnen</t>
  </si>
  <si>
    <t>Mass Data Input</t>
  </si>
  <si>
    <t>Eingabe von Massendaten</t>
  </si>
  <si>
    <t>Print Workbook</t>
  </si>
  <si>
    <t>Seite drucken</t>
  </si>
  <si>
    <t>Initiate</t>
  </si>
  <si>
    <t>Start</t>
  </si>
  <si>
    <t>Cancel</t>
  </si>
  <si>
    <t>Abbrechen</t>
  </si>
  <si>
    <t>Please select the pages required for your issuance/programme:</t>
  </si>
  <si>
    <t>Bitte wählen Sie die für Ihr(e) Emission/Programm notwendigen Seiten:</t>
  </si>
  <si>
    <t>Por favor, seleccione las páginas requeridas para su emisión/programa:</t>
  </si>
  <si>
    <t>1. CB Programme Overview</t>
  </si>
  <si>
    <t>1. Überblick über das Programm mit Gedeckten Schuldverschreibungen</t>
  </si>
  <si>
    <t>1. Resumen programa Cédulas</t>
  </si>
  <si>
    <t>2. Over-Collateralisation</t>
  </si>
  <si>
    <t>2. Überbesicherung</t>
  </si>
  <si>
    <t>2. Sobre-Colateralización (OC)</t>
  </si>
  <si>
    <t>3. Collateral</t>
  </si>
  <si>
    <t>3. Sicherheiten</t>
  </si>
  <si>
    <t>3. Cartera Subyacente</t>
  </si>
  <si>
    <t>3.1 Residential Mortgage Collateral</t>
  </si>
  <si>
    <t>3.1. Wohnimmobilien-Kredite</t>
  </si>
  <si>
    <t>3.1. Préstamos hipotecarios carácter residencial</t>
  </si>
  <si>
    <t>3.1.1 Residential Mortgages located in 1 country / originated in 1 currency</t>
  </si>
  <si>
    <t>3.1.1. Wohnimmobilien-Kredite in einem Land / ausgereicht in 1 Währung</t>
  </si>
  <si>
    <t>3.1.1 Préstamos residenciales en 1 divisa</t>
  </si>
  <si>
    <t>3.1.2 Residential Mortgages located in 2 countries / originated in 2 currencies</t>
  </si>
  <si>
    <t>3.1.2. Wohnimmobilien-Kredite in 2 Ländern /  ausgereicht in 2 Währungen</t>
  </si>
  <si>
    <t>3.1.2 Préstamos residenciales en 2 divisas</t>
  </si>
  <si>
    <t>3.1.3 Residential Mortgages located in 3 countries / originated in 3 currencies</t>
  </si>
  <si>
    <t>3.1.3. Wohnimmobilien-Kredite in 3 Ländern /  ausgereicht in 3 Währungen</t>
  </si>
  <si>
    <t>3.1.3 Préstamos residenciales en 3 divisas</t>
  </si>
  <si>
    <t>3.1.4 Residential Mortgages located in 4 countries / originated in 4 currencies</t>
  </si>
  <si>
    <t>3.1.4. Wohnimmobilien-Kredite in 4 Ländern /  ausgereicht in 4 Währungen</t>
  </si>
  <si>
    <t>3.1.4 Préstamos residenciales en 4 divisas</t>
  </si>
  <si>
    <t>3.1.5 Residential Mortgages located in 5 countries / originated in 5 currencies</t>
  </si>
  <si>
    <t>3.1.5. Wohnimmobilien-Kredite in 5 Ländern /  ausgereicht in 5 Währungen</t>
  </si>
  <si>
    <t>3.1.5 Préstamos residenciales en 5 divisas</t>
  </si>
  <si>
    <t>No Residential Mortgages</t>
  </si>
  <si>
    <t>Keine Wohnimmobilien-Kredite</t>
  </si>
  <si>
    <t>No hay Préstamos residenciales</t>
  </si>
  <si>
    <t>3.2 Commercial Mortgage Collateral</t>
  </si>
  <si>
    <t>3.2 Hypotheken für gewerblich genutzte Immobilien</t>
  </si>
  <si>
    <t>3.2. Préstamos hipotecarios carácter comercial</t>
  </si>
  <si>
    <t>3.2.1 Stratified Commercial Mortgages located in 1 country / originated in 1 currency</t>
  </si>
  <si>
    <t>3.2.1 Aggregiert Hypotheken für gewerblich genutzte Immobilien in einem Land /  ausgereicht in 1 Währung</t>
  </si>
  <si>
    <t>3.2.1 Préstamos hipotecarios comerciales en 1 país/originados en 1 divisa</t>
  </si>
  <si>
    <t>3.2.2 Stratified Commercial Mortgages located in 2 countries / originated in 2 currencies</t>
  </si>
  <si>
    <t>3.2.2 Aggregiert Hypotheken für gewerblich genutzte Immobilien in 2 Ländern /  ausgereicht in 2 Währungen</t>
  </si>
  <si>
    <t>3.2.2 Préstamos hipotecarios comerciales en 2 países/originados en 2 divisas</t>
  </si>
  <si>
    <t>3.2.3 Stratified Commercial Mortgages located in 3 countries / originated in 3 currencies</t>
  </si>
  <si>
    <t>3.2.3 Aggregiert Hypotheken für gewerblich genutzte Immobilien in 3 Ländern /  ausgereicht in 3 Währungen</t>
  </si>
  <si>
    <t>3.2.3. Préstamos hipotecarios comerciales en 3 países/originados en 3 divisas</t>
  </si>
  <si>
    <t>3.2.4 Stratified Commercial Mortgages located in 4 countries / originated in 4 currencies</t>
  </si>
  <si>
    <t>3.2.4 Aggregiert Hypotheken für gewerblich genutzte Immobilien in 4 Ländern /  ausgereicht in 4 Währungen</t>
  </si>
  <si>
    <t>3.2.4.  Préstamos hipotecarios comerciales en 4 países/originados en 4 divisas</t>
  </si>
  <si>
    <t>3.2.5 Stratified Commercial Mortgages located in 5 countries / originated in 5 currencies</t>
  </si>
  <si>
    <t>3.2.5 Aggregiert Hypotheken für gewerblich genutzte Immobilien in 5 Ländern /  ausgereicht in 5 Währungen</t>
  </si>
  <si>
    <t>3.2.5. Préstamos hipotecarios comerciales en 5 países/originados en 5 divisas</t>
  </si>
  <si>
    <t>No Commercial Mortgages</t>
  </si>
  <si>
    <t>Keine Hypotheken für gewerblich genutzte Immobilien</t>
  </si>
  <si>
    <t>No hay Préstamos comerciales</t>
  </si>
  <si>
    <t>3.3 Public Sector Collateral</t>
  </si>
  <si>
    <t>3.3 Kredite an den Öffentlichen Sektor</t>
  </si>
  <si>
    <t>3.3. Préstamos a las A.A.P.P.</t>
  </si>
  <si>
    <t>Public Sector Assets</t>
  </si>
  <si>
    <t>Kredite an den Öffentlichen Sektor</t>
  </si>
  <si>
    <t>Cartera a las A.A.P.P.</t>
  </si>
  <si>
    <t>No Public Sector Assets</t>
  </si>
  <si>
    <t>Keine Kredite an den Öffentlichen Sektor</t>
  </si>
  <si>
    <t>No existe cartera a las A.A.P.P.</t>
  </si>
  <si>
    <t>3.4 Substitute Collateral</t>
  </si>
  <si>
    <t>3.4 Ersatzsicherheiten</t>
  </si>
  <si>
    <t>3.4 Subyacente adicional (no aplicable Cédulas)</t>
  </si>
  <si>
    <t>3.2 Loan by Loan Commercial Mortage</t>
  </si>
  <si>
    <t>3.2 Gewerbliche Immobilienkredite - Daten auf Einzelkreditbasis</t>
  </si>
  <si>
    <t>3.2. Cartera Comercial préstamo a préstamo</t>
  </si>
  <si>
    <t>4. Hedging</t>
  </si>
  <si>
    <t>4.1  Hedging (1) - Overview</t>
  </si>
  <si>
    <t>4.1 Hedging (1) - Overview</t>
  </si>
  <si>
    <t>4.1 Hedging (1) -  Überblick</t>
  </si>
  <si>
    <t>4.1  Hedging (1) - resumen</t>
  </si>
  <si>
    <t>4.2  Hedging (2) - Swap by swap</t>
  </si>
  <si>
    <t>4.2 Hedging (2) - Swap by swap</t>
  </si>
  <si>
    <t>4.2 Hedging (2) - Einzelne Swaps</t>
  </si>
  <si>
    <t>4.2  Hedging (2) - Swap by swap (no aplicable a cédulas)</t>
  </si>
  <si>
    <t>4.3  Hedging (3) - Cash flow analysis</t>
  </si>
  <si>
    <t>4.3 Hedging (3) - Cash flow analysis</t>
  </si>
  <si>
    <t>4.3 Hedging (3) - Cashflow-Analyse</t>
  </si>
  <si>
    <t xml:space="preserve">4.3  Hedging (3) - Análisis Cash flow </t>
  </si>
  <si>
    <t>4.4  Hedging (4) - Interest Matching</t>
  </si>
  <si>
    <t>4.4  Hedging (4) - Interest matching</t>
  </si>
  <si>
    <t>4.4 Hedging (4) - Zinsbindung</t>
  </si>
  <si>
    <t>4.4. Hedging (4) -Matching de tipos</t>
  </si>
  <si>
    <t>Residential Menu</t>
  </si>
  <si>
    <t>Menü Wohnimmobilien</t>
  </si>
  <si>
    <t>Menú Residencial</t>
  </si>
  <si>
    <t>Show All</t>
  </si>
  <si>
    <t>Alles anzeigen</t>
  </si>
  <si>
    <t>MOSTRAR Todo</t>
  </si>
  <si>
    <t>EXIT</t>
  </si>
  <si>
    <t>ZURÜCK</t>
  </si>
  <si>
    <t>SALIR</t>
  </si>
  <si>
    <t>Simple Format</t>
  </si>
  <si>
    <t>Aggregiert</t>
  </si>
  <si>
    <t>Formato simplificado</t>
  </si>
  <si>
    <t>LTV details</t>
  </si>
  <si>
    <t>Pro LTV Band</t>
  </si>
  <si>
    <t>Detalles LTV</t>
  </si>
  <si>
    <t>View Details</t>
  </si>
  <si>
    <t>Details ansehen</t>
  </si>
  <si>
    <t>Ver Detalles</t>
  </si>
  <si>
    <t>1. LTV Distribution</t>
  </si>
  <si>
    <t>1. Verteilung der Beleihungsquoten</t>
  </si>
  <si>
    <t>1. Distribución LTV</t>
  </si>
  <si>
    <t>Unindexed  LTV</t>
  </si>
  <si>
    <t>Unindexed LTV</t>
  </si>
  <si>
    <t>Unindexierte Beleihungsquote</t>
  </si>
  <si>
    <t>Indexed  LTV</t>
  </si>
  <si>
    <t>Indexed LTV</t>
  </si>
  <si>
    <t>Indexierte Beleihungsquote</t>
  </si>
  <si>
    <t>2. Seasoning</t>
  </si>
  <si>
    <t>2. Bisherige Laufzeit</t>
  </si>
  <si>
    <t>8. Interest Rate Type</t>
  </si>
  <si>
    <t>8. Zinstyp</t>
  </si>
  <si>
    <t>10. Adverse Credit History/Non-Conforming</t>
  </si>
  <si>
    <t>11. Loans in arrears</t>
  </si>
  <si>
    <t>11. Rückständige Kredite</t>
  </si>
  <si>
    <t>12. Prior Ranks</t>
  </si>
  <si>
    <t>12. Vorrangige Verbindlichkeiten</t>
  </si>
  <si>
    <t>13. Provisioned Loans</t>
  </si>
  <si>
    <t>13. Kredite mit Rückstellungen/Wertberichtigungen</t>
  </si>
  <si>
    <t>14. Regional Distribution</t>
  </si>
  <si>
    <t>14. Regionale Verteilung</t>
  </si>
  <si>
    <t>14. COMUNIDADES AUTONOMAS</t>
  </si>
  <si>
    <t>Commercial Menu</t>
  </si>
  <si>
    <t>Menü gewerbliche Immobilien</t>
  </si>
  <si>
    <t>Menú comercial</t>
  </si>
  <si>
    <t>1. Internal Rating Scoring - Overall</t>
  </si>
  <si>
    <t>1. Internes Rating - Gesamt</t>
  </si>
  <si>
    <t>1. RATING INTERNOS general</t>
  </si>
  <si>
    <t>1a. Internal Rating Scoring - Property Quality</t>
  </si>
  <si>
    <t>1a. Internes Rating - Qualität der Immobilie</t>
  </si>
  <si>
    <t>1a. RATING INTERNOS -Calidad Propiedad</t>
  </si>
  <si>
    <t>1b. Internal Rating Scoring - Property Location</t>
  </si>
  <si>
    <t>1b. Internes Rating - Lage der Immobilie</t>
  </si>
  <si>
    <t>1b. RATINGS INTERNOS -Localización Propiedad</t>
  </si>
  <si>
    <t>1ab. Internal Rating Scoring - Property Quality AND Property Location</t>
  </si>
  <si>
    <t xml:space="preserve">1ab. Internal Rating Scoring -  Property Quality AND Property Location </t>
  </si>
  <si>
    <t>1ab. Internes Rating - Qualität UND Lage der Immobilie</t>
  </si>
  <si>
    <t>1ab. RATINGS INTERNOS -Calidad Propiedad y localización</t>
  </si>
  <si>
    <t>1c. Internal Rating Scoring - Borrower/Sponsor Quality</t>
  </si>
  <si>
    <t>1c. Internes Rating - Qualität des Kreditnehmers / des Bürgen</t>
  </si>
  <si>
    <t>1c. RATINGS INTRERNOS - Calidad Deudot</t>
  </si>
  <si>
    <t>1d. Internal Rating Scoring - Tenants Quality</t>
  </si>
  <si>
    <t>1d. Internes Rating - Qualität der Mieter</t>
  </si>
  <si>
    <t>1d. RATINGS INTERNOS - Calidad Arrendatario</t>
  </si>
  <si>
    <t>1cd. Internal Rating Scoring - Borrower/Sponsor AND Tenant Quality</t>
  </si>
  <si>
    <t>1cd. Internes Rating - Qualität des Kreditnehmers / des Bürgen UND der Mieter</t>
  </si>
  <si>
    <t>1cd. RATINGS INTERNOS -CALidad Deudor y Arrendatario</t>
  </si>
  <si>
    <t>2. LTV Distribution</t>
  </si>
  <si>
    <t>2.  LTV  Distribution</t>
  </si>
  <si>
    <t>2. Verteilung der Beleihungsquoten</t>
  </si>
  <si>
    <t>2. Distribución LTV</t>
  </si>
  <si>
    <t>3. Property  Type</t>
  </si>
  <si>
    <t>WA Remaining Term per LTV Band</t>
  </si>
  <si>
    <t>Durchschnittliche Restlaufzeit nach Beleihungsquoten</t>
  </si>
  <si>
    <t>Vida Restante ponderada por rango LTV</t>
  </si>
  <si>
    <t>4. Prior Ranks</t>
  </si>
  <si>
    <t>4. Vorrangige Verbindlichkeiten</t>
  </si>
  <si>
    <t>4. RANGOS SUPERIORES</t>
  </si>
  <si>
    <t>5. Loan Repayment Type</t>
  </si>
  <si>
    <t>5. Principal Repayment Pattern</t>
  </si>
  <si>
    <t>5. Rückzahlung des Kredits</t>
  </si>
  <si>
    <t>5. Tipo de amortización de Principal</t>
  </si>
  <si>
    <t>6. Interest Rate Type</t>
  </si>
  <si>
    <t>6.Zinstyp</t>
  </si>
  <si>
    <t>7. Current Remaining Term</t>
  </si>
  <si>
    <t>7. Bisherige Laufzeit</t>
  </si>
  <si>
    <t xml:space="preserve">7. VIDA RESTANTE </t>
  </si>
  <si>
    <t>8. Loans in arrears / Foreclosure</t>
  </si>
  <si>
    <t>8. Loans in Arrears / foreclosure proceedings</t>
  </si>
  <si>
    <t>8. Ruckstandige Kredite / Zwangsvollstreckungsverfahren</t>
  </si>
  <si>
    <t>8. MOROSIDAD y PROCEDIMIENTOS DE EJECUCIÓN</t>
  </si>
  <si>
    <t>9. Provisioned Loans</t>
  </si>
  <si>
    <t>9. Kredite Mit Ruckstellungen</t>
  </si>
  <si>
    <t>10. DSCR</t>
  </si>
  <si>
    <t xml:space="preserve">10. DSCR </t>
  </si>
  <si>
    <t>10. Schuldendienstdeckungsquote</t>
  </si>
  <si>
    <t>LTV per DSCR Bands</t>
  </si>
  <si>
    <t>Schuldendiensdeckungsquote Bandbreiten</t>
  </si>
  <si>
    <t>LTV por rangos de dSCR</t>
  </si>
  <si>
    <t>11. No. of  Tenants</t>
  </si>
  <si>
    <t>12. Regions</t>
  </si>
  <si>
    <t>12. Regionen</t>
  </si>
  <si>
    <t>12. COMUNIDADES AUTÓNOMAS</t>
  </si>
  <si>
    <t>LTV per Property Type</t>
  </si>
  <si>
    <t>Beleihungsquoten nach Immobilienart</t>
  </si>
  <si>
    <t>LTV por tipo de Propiedad</t>
  </si>
  <si>
    <t>13. Seasoning</t>
  </si>
  <si>
    <t>13. Bisherige Laufzeit</t>
  </si>
  <si>
    <t>13. ANTIGÜEDAD</t>
  </si>
  <si>
    <t>Show All Details</t>
  </si>
  <si>
    <t>Later Additions</t>
  </si>
  <si>
    <t xml:space="preserve">- For each programme (e.g. mortgage covered bonds, public sector covered bonds), please use a separate Template. </t>
  </si>
  <si>
    <t>- Bitte für jedes Pfandbrief/Covered-Bond-Programm ein separates Template benutzen. Wenn z.B. ein Rating sowohl für Öffentliche und für Hypotheken-Pfandbriefe gewünscht ist, verwenden Sie zwei separate Reporting-Templates.</t>
  </si>
  <si>
    <t>- Please do not use a "dummy" or mirror-version for the reporting, and please do not change given categories, range names or write-protections. Please conform with all formatting instructions (and embedded in-cell formatting, e.g in % or in bps). If your internal categories do not match the categories given in the template, please make an assumption and use a similar given category.  Please collect your assumptions in a separate mail. If you have any doubts or questions on the template do not hesistate to contact Moody's.</t>
  </si>
  <si>
    <t>- Bitte das Originalformat für das Reporting verwenden, d.h. keine gespiegelte Datei o.ä.  Belassen Sie die vorgegebenen Kategorien und schreibgeschützte Felder. Bitte beachten Sie das gewünschte Datenformat (z.B. in % oder in Monaten) und behalten Sie die voreingestellte Formatierung der Zellen bei. Sollten bestimmte vorgegebene Kategorien nicht zutreffen, bitte treffen Sie eine Annahme und verwenden eine möglichst ähnliche Kategorie. Teilen Sie Ihre Annahmen in einer separaten Email mit. Kontaktieren Sie Moody's bei Zweifeln.</t>
  </si>
  <si>
    <t xml:space="preserve">- El fichero debe de ser usado en su versión original –no se debe utilizar copia o prueba preliminar del fichero original. Favor de no cambiar las categorías dadas, los nombres de los rangos y protecciones. Si sus categorías internas no corresponden con las del fichero establezca los supuestos necesarios y utilice una categoría similar. Registre  los supuestos establecidos en otro email. No dude en contactar a Moody’s en caso de cualquier duda. </t>
  </si>
  <si>
    <t>Date of issuance</t>
  </si>
  <si>
    <t>Emissionsdatum</t>
  </si>
  <si>
    <t>Fecha de emisión</t>
  </si>
  <si>
    <t>Series number</t>
  </si>
  <si>
    <t>Serie</t>
  </si>
  <si>
    <t>Structured features</t>
  </si>
  <si>
    <t>weitere "strukturierte" Elemente</t>
  </si>
  <si>
    <t xml:space="preserve">Otras características </t>
  </si>
  <si>
    <t>Field to record features such as put/call options and structured coupons</t>
  </si>
  <si>
    <t>Feld zum Aufzeichnen von Funktionen wie Put / Call-Optionen und strukturierten Coupons</t>
  </si>
  <si>
    <t>Campo para reportar elementos como opción call/put y cupones estructurados</t>
  </si>
  <si>
    <t>Private Issuance?</t>
  </si>
  <si>
    <t>Privatplatzierung?</t>
  </si>
  <si>
    <t>Emisión privada?</t>
  </si>
  <si>
    <t>Y/N</t>
  </si>
  <si>
    <t>Hard coded minimum shift applied? (enter "NA" or number of bps)</t>
  </si>
  <si>
    <t>Falls immer eine Mindestverschiebung im Barwerttest modelliert wird, bitte bps angeben, ansonsten "NA".</t>
  </si>
  <si>
    <t>- celda no es aplicable -</t>
  </si>
  <si>
    <t>Loans in arrears &gt; 90 days (in %)</t>
  </si>
  <si>
    <t>Kredite &gt;90 Tage in Verzug (in %)</t>
  </si>
  <si>
    <t>Préstamos  morosos  &gt;90 dias (p.ej. 1% o 0.01)</t>
  </si>
  <si>
    <t>Loans to employees of group (in %)</t>
  </si>
  <si>
    <t>Kredite an Mitarbeiter (konzernweit) (in %)</t>
  </si>
  <si>
    <t>Préstamos a empleados del grupo (p.ej. 1% o 0.01)</t>
  </si>
  <si>
    <t>If house price indices are used</t>
  </si>
  <si>
    <t>Nur bei Verwendung von Hauspreisindizes</t>
  </si>
  <si>
    <t>Solamente si se usa valoraciones adjustadas por índices.</t>
  </si>
  <si>
    <t xml:space="preserve">Copies of this worksheet should be created (non-exhaustive list):
- if the Cover Pool assets are in different countries (separate sheet for each country)
- if the Cover Pool assets are in different currencies (separate sheet for each currency)
- Spanish issuers reporting both Total and Eligible Pool
- French FCTs with mortgages and non-eligible home loans
</t>
  </si>
  <si>
    <t>Für Pool-assets in anderen Ländern oder Währungen bitte ein Kopie dieses Tabellenblatts erstellen.</t>
  </si>
  <si>
    <t>Para proporcionar datos sobre la cartera elegible, por favor crear una copia de esta hoja. En caso de divisas diferentes o activas en otros países, por favor también usar una copia de esta hoja.</t>
  </si>
  <si>
    <t>No LTV data</t>
  </si>
  <si>
    <t>Keine LTV-Daten vorhanden</t>
  </si>
  <si>
    <t>no disponible</t>
  </si>
  <si>
    <t>Floating rate without discretionary parts</t>
  </si>
  <si>
    <t>Floating rate with discretionary parts</t>
  </si>
  <si>
    <t>Fixed (unspecified)</t>
  </si>
  <si>
    <t>Fest verzinslich (nicht spezifiziert)</t>
  </si>
  <si>
    <t>a tipo fijo (sin specificacion)</t>
  </si>
  <si>
    <t>Debtor concentration: aggregate exposure to largest 10 debtors (in %)</t>
  </si>
  <si>
    <t>Kumuliertes Exposure der größten 10 Kreditnehmer (in %)</t>
  </si>
  <si>
    <t>El porcentaje acumulado de los 10 mayores deudores</t>
  </si>
  <si>
    <t>Guarantor concentration: aggregate exposure to largest 10 debtors (in %)</t>
  </si>
  <si>
    <t>Kumuliertes Exposure der größten 10 Garanten (in %)</t>
  </si>
  <si>
    <t>El porcentaje acumulado de las 10 mayores entidades garantizadoras (p.ej. 25.4% o 0.264)</t>
  </si>
  <si>
    <t>Borrower concentration: aggregate exposure to largest 10 borrowers (in %)</t>
  </si>
  <si>
    <t>El porcentaje acumulado de los 10 mayores deudores (p.ej. 25.4% o 0.264)</t>
  </si>
  <si>
    <t>Tenant concentration: aggregate exposure to 10 largest tenants by rent roll (in %)</t>
  </si>
  <si>
    <t>10 Größtes (kumuliertes) Exposure ggü. einem Mieter, in %:</t>
  </si>
  <si>
    <t>El porcentaje acumulado de los 10 mayores arrendatarios (p.ej. 25.4% o 0.264)</t>
  </si>
  <si>
    <t>Property concentration: aggregate exposure to 10 largest properties by property value (in %)</t>
  </si>
  <si>
    <t>10 Größtes (kumuliertes) Exposure ggü. einer Immobilie, in %:</t>
  </si>
  <si>
    <t>El porcentaje acumulado de las 10 mayores propiedades (p.ej. 25.4% o 0.264)</t>
  </si>
  <si>
    <t>a tipo variable</t>
  </si>
  <si>
    <t>a tipo fijo</t>
  </si>
  <si>
    <t>Loans benefitting from a guarantee</t>
  </si>
  <si>
    <t>Loans benefitting from a subsidy (e.g. 6% or 0.06)</t>
  </si>
  <si>
    <t>Kredite mit Zuschuss (in %)</t>
  </si>
  <si>
    <t>Préstamos subvencionados (p.ej. 6% o 0.06)</t>
  </si>
  <si>
    <t>- Where there are syndicated loans ensure all data only reflects the Issuer's proportion of the loan.</t>
  </si>
  <si>
    <t>-Bei syndizierten Krediten bitte Daten immer auf den Anteil des Emittenten beziehen.</t>
  </si>
  <si>
    <t>-En caso de préstamos sindicados se debe reflejar sólo la parte en el activo del Emisor.</t>
  </si>
  <si>
    <t xml:space="preserve">If this worksheet is used, copies of the worksheet should be created:
- if the Cover Pool assets are in different countries (separate sheet for each country)
- if the Cover Pool assets are in different currencies (separate sheet for each currency)
- Spanish issuers reporting both Total and Eligible Pool
</t>
  </si>
  <si>
    <t>Falls dieses Tabellenblatt benutzt wird, bitte für Pool-assets in anderen Ländern oder Währungen ein Kopie dieses Tabellenblatts erstellen.</t>
  </si>
  <si>
    <t>Si se utiliza esta hoja, por favor crear una copia de esta pestaña para proporcionar datos sobre la cartera elegible. En caso de divisas diferentes o activas en otros países, por favor también usar una copia de esta pestaña.</t>
  </si>
  <si>
    <t>Please select value used</t>
  </si>
  <si>
    <t>Bitte auswählen</t>
  </si>
  <si>
    <t>Por favor, seleccione</t>
  </si>
  <si>
    <t>Market Value</t>
  </si>
  <si>
    <t>Marktwert</t>
  </si>
  <si>
    <t xml:space="preserve">valor de mercado </t>
  </si>
  <si>
    <t>Lending Value</t>
  </si>
  <si>
    <t>Beleihungswert</t>
  </si>
  <si>
    <t>valor de tasación</t>
  </si>
  <si>
    <t>Sonstiger Wertansatz</t>
  </si>
  <si>
    <t>Distinto método valoración</t>
  </si>
  <si>
    <t>10. SEASONING</t>
  </si>
  <si>
    <t>10. BISHERIGE LAUFZEIT</t>
  </si>
  <si>
    <t>10. ANTIGÜEDAD</t>
  </si>
  <si>
    <t>9b. Regions by Property Type</t>
  </si>
  <si>
    <t>9b. Regionen nach Immobilienart</t>
  </si>
  <si>
    <t>9b. C.C.A.A. por tipo de Propiedad</t>
  </si>
  <si>
    <t>SPV Borrower</t>
  </si>
  <si>
    <t>SPV Kreditnehmer</t>
  </si>
  <si>
    <t>Deudor es SPV</t>
  </si>
  <si>
    <t>Company (no SPV)</t>
  </si>
  <si>
    <t>Operatives Unternehmen</t>
  </si>
  <si>
    <t>Sociedad (no SPV)</t>
  </si>
  <si>
    <t>Government</t>
  </si>
  <si>
    <t>Staatl. Institution</t>
  </si>
  <si>
    <t>Estado</t>
  </si>
  <si>
    <t>Fund</t>
  </si>
  <si>
    <t>Fonds</t>
  </si>
  <si>
    <t>Fondo</t>
  </si>
  <si>
    <t>Private Individual Ownership</t>
  </si>
  <si>
    <t>Privatperson</t>
  </si>
  <si>
    <t>Propiedad persona física</t>
  </si>
  <si>
    <t>- by sq metre including shared property</t>
  </si>
  <si>
    <t>- nach Quadratmetern (inkl. gemeinschaftl. Eigentum)</t>
  </si>
  <si>
    <t>- por metro cuadradod incluida el resto de propiedad compartida</t>
  </si>
  <si>
    <t>- by sq metre excluding shared property</t>
  </si>
  <si>
    <t>- nach Quadratmetern (exkl. gemeinschaftl. Eigentum)</t>
  </si>
  <si>
    <t>- por metros cuadrados excluida elr esto de propiedad compartida</t>
  </si>
  <si>
    <t>- by rent generated from property</t>
  </si>
  <si>
    <t>- nach Miete</t>
  </si>
  <si>
    <t>- por la renta generada por la propiedad</t>
  </si>
  <si>
    <t>-other</t>
  </si>
  <si>
    <t>- andere Methode</t>
  </si>
  <si>
    <t>- otros</t>
  </si>
  <si>
    <t xml:space="preserve">subsovereign level, e.g. </t>
  </si>
  <si>
    <t>in Loan currency</t>
  </si>
  <si>
    <t>in der Währung des Kredits</t>
  </si>
  <si>
    <t>en la divisa del préstamo</t>
  </si>
  <si>
    <t>in DEFAULT CURRENCY, See CURRENCY CONVERSION</t>
  </si>
  <si>
    <t>in der STANDARDWÄHRUNG, vgl. WÄHRUNGSUMRECHUNG</t>
  </si>
  <si>
    <t>usando la DIVISA ESTÁNDAR -ver CONVERSIÓN DE DIVISAS</t>
  </si>
  <si>
    <t>End of REMAINING TERM</t>
  </si>
  <si>
    <t>Letzter Tag der VERBLEIBENDEN LAUFZEIT</t>
  </si>
  <si>
    <t>Fin de la vida restante</t>
  </si>
  <si>
    <t>Loans to group entities (in %)</t>
  </si>
  <si>
    <t>Kredite an konzerninterne/verbundene Kreditnehmer Kredite mit Zuschuss (in %)</t>
  </si>
  <si>
    <t>Préstamos a deudores dentro del grupo de emisor (p.ej. 1% o 0.01)</t>
  </si>
  <si>
    <t>"NA" if Loan is not backed by a mortgage</t>
  </si>
  <si>
    <t>Wenn keine Hypothek vorhanden ist, "NA".</t>
  </si>
  <si>
    <t>Si no está garantizado por hipoteca: "n/a".</t>
  </si>
  <si>
    <t>Sub-sovereign level, e.g. Brandenburg, Wales. Chose from list after selecting country. F9 to update list. Apply name of sovereign, if sovereign debt. Please use only the given categories.</t>
  </si>
  <si>
    <t>Länderebene, z.B. Brandenburg. Bitte von Drop-Down Liste auswählen (Liste aktualisiert mit F9). Name des Staates, wenn der Schuldner ein Staat ist. Bitte nur die vorgegebenen Regionen benutzen.</t>
  </si>
  <si>
    <t>por ejemplo, Murcia, Madrid.</t>
  </si>
  <si>
    <t>This will vary country to country but may for example be municipality or local authority. This should be the smallest sub-region level for which econonic data is available</t>
  </si>
  <si>
    <t>Länderspezifisch, kann z.B. Gemeinde oder Gebietskörperschaft sein. Es sollte die kleinste Unterregion sein, für die Daten verfügbar sind.</t>
  </si>
  <si>
    <t>Varía dependiendo del país, p.ej. Si se trata de un ente local o regional. En el caso de España se trata de Provincia.</t>
  </si>
  <si>
    <t>The current LOAN BALANCE in the DEFAULT CURRENCY (use the exchange rate as per CURRENCY CONVERSION as required)</t>
  </si>
  <si>
    <t>Der aktuelle KREDITSALDO in der STANDARDWÄHRUNG (falls nötig Wechselkurs gemäß der WÄHRUNGSUMRECHNUNG verwenden).</t>
  </si>
  <si>
    <t>Saldo actual del PRÉSTAMO en DIVISA ESTÁNDAR (utilizar el tipo de cambio de acuerdo a la conversión de divisa requerida).</t>
  </si>
  <si>
    <t>The current LOAN BALANCE In currency of the loan</t>
  </si>
  <si>
    <t>Aktueller KREDITSALDO in der Währung des Kredits.</t>
  </si>
  <si>
    <t xml:space="preserve"> Saldo Vivo en la Divis del Préstamo</t>
  </si>
  <si>
    <t>After any hedges if applicable. Only complete for fixed interest loans.</t>
  </si>
  <si>
    <t>Nach Hedging, falls zutreffend. Nur für festverzinsliche Kredite ausfüllen.</t>
  </si>
  <si>
    <t xml:space="preserve"> después de derivados si aplica. Sólo completar para préstamos a tipo fijo.</t>
  </si>
  <si>
    <t>See definition tab. After any hedges if applicable. Only complete for fixed rate loans</t>
  </si>
  <si>
    <t>Vgl. Tabellenblatt "Definitions". Nach Sicherungsgeschäften, falls zutreffend. Nur für festverzinsliche Kredite ausfüllen.</t>
  </si>
  <si>
    <t>Ver definiciones. Después de derivados si es aplicable. Sólo cpmpletar para préstamos a tipo fijo.</t>
  </si>
  <si>
    <t>After any hedges if applicable. Margin over BASIS (see definition tab). Only complete for floating rate loans</t>
  </si>
  <si>
    <t>Nach Sicherungsgeschäften, falls zutreffend.  Marge über BASISZINS (Vgl. Tabellenblatt "Definitions"). Nur für variabel verzinsliche Kredite ausfüllen.</t>
  </si>
  <si>
    <t xml:space="preserve"> Después de derivados si aplica. Margen sobre la base. Completar sólo en caso de préstamos a tipo variable.</t>
  </si>
  <si>
    <t>In options below, BPI stands for Bankrupcty Proceeding Initiated, and Fce for Foreclosure.</t>
  </si>
  <si>
    <t>En las opciones siguientes, "BPI" indica que el proceso concursal se ha iniciado y "FCE" en caso de realización de bienes o garantías</t>
  </si>
  <si>
    <t>Long term senior unsecured rating should be used</t>
  </si>
  <si>
    <t>Langfristiges Rating für vorrangige unbesicherte Verbindlichkeiten</t>
  </si>
  <si>
    <t>se debe utilizar la calificación no subordinada a largo plazo</t>
  </si>
  <si>
    <t>Name of largest Government Guarantor / Owner / Sponsor</t>
  </si>
  <si>
    <t>Name des Staates oder der Gebietskörperschaft, die Garant / Eigentümer / Sponsor des Schuldners ist</t>
  </si>
  <si>
    <t>Nombre del Gobierno de mayor tamaño, sea garantizador / propietario / patrocinador</t>
  </si>
  <si>
    <t>Largest Government Guarantor / Owner / Sponsor identifier number</t>
  </si>
  <si>
    <t>Ident-Nummer Garant / Eigentümer / Sponsor</t>
  </si>
  <si>
    <t>Número de identificación del gobierno garantizador / propietario / patrocinador</t>
  </si>
  <si>
    <t>Largest Government Guarantor / Owner / Sponsor: Moody's-Rating</t>
  </si>
  <si>
    <t>Garant / Eigentümer / Sponsor: Moody's-Rating</t>
  </si>
  <si>
    <t>Rating Moody's del gobierno garantizador / propietario / patrocinador</t>
  </si>
  <si>
    <t>Largest Government Guarantor / Owner / Sponsor: S&amp;P-Rating</t>
  </si>
  <si>
    <t>Garant / Eigentümer / Sponsor: S&amp;P-Rating</t>
  </si>
  <si>
    <t>Rating S&amp;P del gobierno garantizador / propietario / patrocinador</t>
  </si>
  <si>
    <t>Largest Government Guarantor / Owner / Sponsor: Fitch-Rating</t>
  </si>
  <si>
    <t>Garant / Eigentümer / Sponsor: Fitch-Rating</t>
  </si>
  <si>
    <t>Rating Fitch del gobierno garantizador / propietario / patrocinador</t>
  </si>
  <si>
    <t>Largest Government Guarantor / Owner / Sponsor: INTERNAL RATING</t>
  </si>
  <si>
    <t>Garant / Eigentümer / Sponsor: INTERNES RATING</t>
  </si>
  <si>
    <t>RATING INTERNO del gobierno garantizador / propietario / patrocinador</t>
  </si>
  <si>
    <t>Country in which largest Government Guarantor / Owner / Sponsor is based</t>
  </si>
  <si>
    <t>Land, in dem der Garant / Eigentümer / Sponsor ansässig ist</t>
  </si>
  <si>
    <t>País del gobierno garantizador / propietario / patrocinador</t>
  </si>
  <si>
    <t>Region of largest Government Guarantor / Owner / Sponsor</t>
  </si>
  <si>
    <t>Region des Garanten / Eigentümer / Sponsors</t>
  </si>
  <si>
    <t>Región del gobierno garantizador / propietario / patrocinador</t>
  </si>
  <si>
    <t>Please use only the given categories</t>
  </si>
  <si>
    <t>Bitte nur die vorgegebenen Regionen benutzen</t>
  </si>
  <si>
    <t>Postal Code of Debtor</t>
  </si>
  <si>
    <t>Postleitzahl des Schuldners</t>
  </si>
  <si>
    <t>Código postal del DEUDOR</t>
  </si>
  <si>
    <t>Postal Code of largest Government Guarantor / Owner / Sponsor</t>
  </si>
  <si>
    <t>Postleitzahl des Garanten / Eigentümer / Sponsors</t>
  </si>
  <si>
    <t>Código postal del gobierno garantizador / propietario  / patrocinador</t>
  </si>
  <si>
    <t>For non-guaranteed exposures, please state again the name of the DEBTOR. Government = sovereign, region, federal state, province, department, municipality or equivalent. Complete legal name e.g. United Kingdom of Great Britain and Northern Ireland. If there is more than one Government Guarantor / Owner / Sponsor, please list the largest one only.</t>
  </si>
  <si>
    <t>Falls nicht garantiert, hier bitte nochmals den Namen des SCHULDNERS anführen. Gebietskörperschaft = Region, Bundesland, Provinz, Departement, Stadt, Gemeinde oder gleichwertig. Vollständiger rechtlicher Name, z.B. Bundesrepublik Deutschland, Freistaat Bayern.</t>
  </si>
  <si>
    <t>Para las exposiciones no garantizadas, indique otra vez, por favor, el nombre del deudor. Gobierno = soberaneo, región, estado federal, provincia, departamento, municipalidad o equivalente. Introduzca el nombre legal entero, p.ej., Región de Murcia o Junta de Andalucía. Si existe más de un Gobierno Garantizador / Propietario / Patrocinador, añade, por favor, sólo el de mayor tamaño.</t>
  </si>
  <si>
    <t xml:space="preserve">Complete legal name e.g. United Kingdom of Great Britain and Northern Ireland </t>
  </si>
  <si>
    <t>Vollständiger rechtlicher Name, z.B. Bundesrepublik Deutschland, Freistaat Bayern.</t>
  </si>
  <si>
    <t>Nombre legal entero, p.ej., Región de Murcia</t>
  </si>
  <si>
    <t>Largest Government Guarantor / Owner / Sponsor</t>
  </si>
  <si>
    <t>Größter Garant / Eigentümer / Sponsor (Staat oder Gebietskörperschaft)</t>
  </si>
  <si>
    <t>El más grande Gobierno Garantizador /  Propietario / Patrocinador</t>
  </si>
  <si>
    <t>Please indicate whether the government listed in column 26 is the Guarantor, Owner or Sponsor of the debtor</t>
  </si>
  <si>
    <t>Bitte geben Sie an, ob der Staat oder die Gebietskörperschaft in Spalte 26 der Garant, Eigentümer oder Sponsor des Schuldners ist.</t>
  </si>
  <si>
    <t>Por favor, indique si la entidad de la columna 26 es el Gobierno avalista, propietario o patrocinador del deudor.</t>
  </si>
  <si>
    <t>Is there more than one Government Guarantor / Owner / Sponsor?</t>
  </si>
  <si>
    <t>Gibt es mehr als einen Garanten / Eigentümer / Sponsor?</t>
  </si>
  <si>
    <t>¿Existe más de un Gobierno garantizador / propietario / patrocinador ?</t>
  </si>
  <si>
    <t>Yes / No</t>
  </si>
  <si>
    <t>J / N</t>
  </si>
  <si>
    <t>Sí / No</t>
  </si>
  <si>
    <t>Ownership Position</t>
  </si>
  <si>
    <t>Anteilsbesitz</t>
  </si>
  <si>
    <t>Participación</t>
  </si>
  <si>
    <t>Only in case column 36 indicates "Owner". E.g. 26.4% oder 0.264</t>
  </si>
  <si>
    <t>Nur relevant, wenn in Spalte 36 "Eigentümer" gewählt wurde. Z.B. 26.4% oder 0.264</t>
  </si>
  <si>
    <t>Sólo en el caso de que la columna 36 indique "propietario". P.ej. 26.4% o 0.264.</t>
  </si>
  <si>
    <t>Sector</t>
  </si>
  <si>
    <t>Sektor</t>
  </si>
  <si>
    <t>Only for debtors classified as "Others" in column 3.</t>
  </si>
  <si>
    <t>Nur falls in Spalte 3 als "Sonstige" gekennzeichnet.</t>
  </si>
  <si>
    <t>Sólo para los deudores clasificados como "Otros" en la columna 3.</t>
  </si>
  <si>
    <t>If not guaranteed, please state here again the DEBTOR ID.</t>
  </si>
  <si>
    <t>Numerische Referenznummer. Falls nicht garantiert, hier bitte nochmals die ID Nummer des SCHULDNERS angeben.</t>
  </si>
  <si>
    <t>Si no tiene garantía o aval, por favor escriba de nuevo el Número de Identificación del Deudor.</t>
  </si>
  <si>
    <t>Guarantor</t>
  </si>
  <si>
    <t>Garant</t>
  </si>
  <si>
    <t>Avalista</t>
  </si>
  <si>
    <t>Owner</t>
  </si>
  <si>
    <t>Eigentümer</t>
  </si>
  <si>
    <t>Propietario</t>
  </si>
  <si>
    <t>Sponsor</t>
  </si>
  <si>
    <t>Patrocinador</t>
  </si>
  <si>
    <t>Promotion of tourism</t>
  </si>
  <si>
    <t>Tourismusförderung</t>
  </si>
  <si>
    <t>Promoción turística</t>
  </si>
  <si>
    <t>Culture/entertainment (theatres, radio and TV stations, libraries, etc.)</t>
  </si>
  <si>
    <t>Kultur/Unterhaltung (Theater, Radio und Fersehsender, Bibliothek, etc.)</t>
  </si>
  <si>
    <t>Cultura / Espectáculo (teatros, radio y canales de televisión, bibliotecas...)</t>
  </si>
  <si>
    <t>Sport</t>
  </si>
  <si>
    <t>Deporte</t>
  </si>
  <si>
    <t>Parking lot</t>
  </si>
  <si>
    <t>Parkhäuser</t>
  </si>
  <si>
    <t>Aparcamiento</t>
  </si>
  <si>
    <t>Education</t>
  </si>
  <si>
    <t>Bildung/Erziehung</t>
  </si>
  <si>
    <t>Educación</t>
  </si>
  <si>
    <t>Healthcare</t>
  </si>
  <si>
    <t>Gesundheit</t>
  </si>
  <si>
    <t>Asistencia Sanitaria</t>
  </si>
  <si>
    <t>Childcare</t>
  </si>
  <si>
    <t>Kinderbetreuung</t>
  </si>
  <si>
    <t>Infancia</t>
  </si>
  <si>
    <t>Care for the elderly</t>
  </si>
  <si>
    <t>Altenpflege</t>
  </si>
  <si>
    <t>Asistencia para los mayores</t>
  </si>
  <si>
    <t>Water supply</t>
  </si>
  <si>
    <t>Wasserversorgung</t>
  </si>
  <si>
    <t>Suministro de Agua</t>
  </si>
  <si>
    <t>Waste collection</t>
  </si>
  <si>
    <t>Abfallentsorgung</t>
  </si>
  <si>
    <t>Basuras</t>
  </si>
  <si>
    <t>Waste water treatment</t>
  </si>
  <si>
    <t>Abwasserbeseitigung</t>
  </si>
  <si>
    <t>Tratamiento de aguas residuales</t>
  </si>
  <si>
    <t>Energy</t>
  </si>
  <si>
    <t>Energieversorgung</t>
  </si>
  <si>
    <t>Energía</t>
  </si>
  <si>
    <t>Fire fighters</t>
  </si>
  <si>
    <t>Feuerwehr</t>
  </si>
  <si>
    <t>Bomberos</t>
  </si>
  <si>
    <t>Youth care</t>
  </si>
  <si>
    <t>Jugendhilfe</t>
  </si>
  <si>
    <t>Juventud</t>
  </si>
  <si>
    <t>Social housing</t>
  </si>
  <si>
    <t>Sozialer Wohnungsbau</t>
  </si>
  <si>
    <t>Vivienda social</t>
  </si>
  <si>
    <t>Other / No Data</t>
  </si>
  <si>
    <t>Internal Rating: Quality of largest tenant</t>
  </si>
  <si>
    <t>Internes Rating: Mieterqualitaet (größter Mieter)</t>
  </si>
  <si>
    <t>RATING INTERNO: Calidad del mayor arrendatario</t>
  </si>
  <si>
    <t>Borrower Rating</t>
  </si>
  <si>
    <t>Kreditnehmer-Rating</t>
  </si>
  <si>
    <t>RATING del deudor</t>
  </si>
  <si>
    <t>Rating of largest tenant</t>
  </si>
  <si>
    <t xml:space="preserve">Rating Größter Mieter </t>
  </si>
  <si>
    <t>Reting del mayor arrendador</t>
  </si>
  <si>
    <t>Amortisation</t>
  </si>
  <si>
    <t>Amortisierung</t>
  </si>
  <si>
    <t>Amortización</t>
  </si>
  <si>
    <t>Largest tenant: Percentage sq meters</t>
  </si>
  <si>
    <t>Anteil des größten Mieters (nach Quadratmetern, in %)</t>
  </si>
  <si>
    <t>Mayor arrendatario %aje en metros cuadrados</t>
  </si>
  <si>
    <t>WA Rating of all tenants</t>
  </si>
  <si>
    <t>gewichtetes Durchschnittsrating aller Mieter</t>
  </si>
  <si>
    <t>Rating medio ponderado de los arrendadores</t>
  </si>
  <si>
    <t>- For the treatment of assets / Covered Bonds which are subject to puts or calls please see OPTIONAL ELEMENTS.</t>
  </si>
  <si>
    <t>- Falls Puts/Calls o.ä. auf Asset- oder Bond-Seite eingesetzt werden, bitte Erläuterungen fuer OPTIONALE ELEMENTE beachten.</t>
  </si>
  <si>
    <t>LOAN BALANCE of Covered Bonds in DEFAULT CURRENCY (use spot rate for currency conversion)</t>
  </si>
  <si>
    <t>KREDITSALDO der GEDECKTEN SCHULDVERSCHREIBUNGEN in STANDARDWÄHRUNG (zur WÄHRUNGSUMRECHUNG Spot Rate am BERICHTSDATUM heranziehen)</t>
  </si>
  <si>
    <t>Valor de las Cedulas en la DIVISA ESTÁNDAR</t>
  </si>
  <si>
    <t>LTVs provided consider:</t>
  </si>
  <si>
    <t>Angegebene Beleihungsquoten beruecksichtigen:</t>
  </si>
  <si>
    <t xml:space="preserve">LTV incluye </t>
  </si>
  <si>
    <t>(Should ideally consider, aggregated by debtor, all prior, equal and junior  Ranks)</t>
  </si>
  <si>
    <t>Im Idealfall alle vorrangigen, gleichrangigen und nachrangigen Kredite</t>
  </si>
  <si>
    <t xml:space="preserve">Idealmente incluye rangos superior, igual o inferior. </t>
  </si>
  <si>
    <t>Own senior and equal ranks</t>
  </si>
  <si>
    <t>Eigene Vor- und Gleichränge</t>
  </si>
  <si>
    <t>rangos superiores e iguales</t>
  </si>
  <si>
    <t>3rd party senior and equal ranks</t>
  </si>
  <si>
    <t>Fremde Vor- und Gleichränge</t>
  </si>
  <si>
    <t>Own junior ranks</t>
  </si>
  <si>
    <t>Eigene Nachränge</t>
  </si>
  <si>
    <t>rangos inferiores</t>
  </si>
  <si>
    <t>3rd junior ranks</t>
  </si>
  <si>
    <t>Fremde Nachränge</t>
  </si>
  <si>
    <t>No information on ranking</t>
  </si>
  <si>
    <t>Keine Information bzgl Rangigkeit</t>
  </si>
  <si>
    <t>only part(s) of the loan registered in the cover pool</t>
  </si>
  <si>
    <t>Nur Teile des Kredites im Deckungsstock</t>
  </si>
  <si>
    <t>Other (please provide description)</t>
  </si>
  <si>
    <t>Sonstige (Bitte beschreiben)</t>
  </si>
  <si>
    <t>Are Swaps included in the Cover Pool?</t>
  </si>
  <si>
    <t>Sind Swaps im Deckungsstock registriert?</t>
  </si>
  <si>
    <t>Others - EEA</t>
  </si>
  <si>
    <t>Andere - EWR</t>
  </si>
  <si>
    <t>Otro - EEE</t>
  </si>
  <si>
    <t>Others - Non EEA</t>
  </si>
  <si>
    <t>Andere - Nicht EWR</t>
  </si>
  <si>
    <t>Otro - No EEE</t>
  </si>
  <si>
    <t>Office (unspecified)</t>
  </si>
  <si>
    <t>Bürogebäude (unspezifiziert)</t>
  </si>
  <si>
    <t>Oficinas (sin specificacion)</t>
  </si>
  <si>
    <t>Retail (unspecified)</t>
  </si>
  <si>
    <t>Handel (unspezifiziert)</t>
  </si>
  <si>
    <t>Locales comerciales (sin specificacion)</t>
  </si>
  <si>
    <t>Industrial unspecified</t>
  </si>
  <si>
    <t>Industriegebäude (unspezifiziert)</t>
  </si>
  <si>
    <t>Industrial (sin specificacion)</t>
  </si>
  <si>
    <t>Multifamily unspecified</t>
  </si>
  <si>
    <t>Mehrfamilienhäuser (unspezifiziert)</t>
  </si>
  <si>
    <t>Commercial Loan by Loan data</t>
  </si>
  <si>
    <t>Gewerbliche Immobilienkredite - Daten auf Einzelkreditbasis</t>
  </si>
  <si>
    <t>Información CARTERA COMERCIAL Préstamo a Préstamo</t>
  </si>
  <si>
    <t>This tab should include information on the following: 1) all COMMERCIAL LOANS where COMMERCIAL LOANS make up more than 35% of the COVER POOL by value; 2) if all commercial loans make up less than 35% of the COVER POOL by value, complete this at least for all COMMERCIAL LOANS exceeding 0.5% of the entire COVER POOL; Moody's encourages to list also all other COMMERCIAL LOANS.</t>
  </si>
  <si>
    <t>Bitte geben Sie in diesem Tabellenblatt alle GEWERBLICHEN IMMOBILIENKREDITE an, wenn diese mehr als 35% der DECKUNGSMASSE ausmachen.
Falls GEWERBLICHEN IMMOBILIENKREDITE weniger als 35% der DECKUNGSMASSE ausmachen, koennen die Daten alternativ im Tabellenblatt "Commercial Stratified" aggregiert angegeben werden. Moody's bevorzugt allerdings Daten auf Einzelkreditbasis.
Bitte in jedem Fall alle GEWERBLICHEN IMMOBILIENKREDITE die mehr als 0.5% der gesamten DECKUNGSMASSE ausmachen, in diesem Tabellenblatt auf Einzelkreditbasis angeben.</t>
  </si>
  <si>
    <t xml:space="preserve">Esta hoja debe incluir la siguiente información: 
1) todos los PRÉSTAMOS COMERCIALES si estos representan más del  35% de la CARTERA HIPOTECARIA; 
2) si todos los PRÉSTAMOS COMERCIALES representan menos del  35% de la cartera hipotecaria,  incluya información de todos aquellos prestamos que excedan el 0.50% de la CARTERA SUBYACENTE. Moody’s fomenta listar todos los otros PRESTAMOS COMERCIALES. 
</t>
  </si>
  <si>
    <t xml:space="preserve">Total outstanding of loans exceeding 0.5% of the Cover Pool: </t>
  </si>
  <si>
    <t>Gesamte ausstehende Kredite, welche mehr als 0.5% der DECKUNGSMASSE ausmachen:</t>
  </si>
  <si>
    <t>Saldo Vivo de préstamos que exceden el 0.50%m de la CARTERA SUBYACENTE:</t>
  </si>
  <si>
    <t>Number of loans exceeding 0.5% of the Cover Pool:</t>
  </si>
  <si>
    <t>Anzahl der Kredite, welche mehr als 0.5% der DECKUNGSMASSE ausmachen:</t>
  </si>
  <si>
    <t>Número de préstamos que exceden el 0.50%m de la CARTERA SUBYACENTE:</t>
  </si>
  <si>
    <t>- Commercial LOANS refer to loans which do not qualify as residential, are not backed by a company related to the public sector, but are backed by a mortgage. See also definition of COMMERCIAL LOAN.</t>
  </si>
  <si>
    <t>- Gewerbedarlehen beziehen sich auf Kredite welche nicht als wohnwirtschaftlich kategorisiert werden, nicht von einem Unternehmen des öffentlichen Sektors besichert sind, aber durch eine Hypothek besichert werden. Siehe auch die Definition von Gewerbedarlehen.</t>
  </si>
  <si>
    <t>-PRÉSTAMOS comerciales está referido  a aquellos que no califican como residenciales, no se encuentran garantizados por el sector público, pero se encuentran garantizados por una hipoteca. Ver también la definición de PRÉSTAMO COMERCIAL.</t>
  </si>
  <si>
    <t>- LOAN BALANCE refers to the current mortgage balance (at the REPORT DATE).  For all LTV calculations, the LTV should be calculated as the LOAN BALANCE plus all prior, equal and subordinated ranking loans secured on the same property, divided by the appropriate property value.</t>
  </si>
  <si>
    <t>- KREDITSALDO bezieht sich auf den Kreditsaldo zum BERICHTSDATUM. Fuer Berechnungen der Beleihungsquote, bitte den KREDITSALDO heranziehen plus aller vor-, gleich- und nachrangigen Kredite, die durch dieselbe Immobilie besichert sind, geteilt durch den geeigneten Wert der Immobilie.</t>
  </si>
  <si>
    <t>- Amounts should be entered in loan currency unless otherwise specified</t>
  </si>
  <si>
    <t>- Beträge in Währung des Kredits, soweit nicht anders angegeben.</t>
  </si>
  <si>
    <t>- Las cantidades se deben dar en la divisa del Préstamo salvo que se indique lo contrario</t>
  </si>
  <si>
    <t>- Where there are single loans secured by multiple properties located in more than one country the LOAN BALANCE should be split into multiple loans, with one loan for each property in a different country. The LOAN BALANCE should be apportioned pro rata amongst the various countries based on the applicable value for each of the properties (see LTV).</t>
  </si>
  <si>
    <t>- Ein Kredit, der durch mehrere Immobilien in mehr als einem Land besichert wird sollte in separate Kredite aufgeteilt werden, je ein Kredit pro Immobilie in einem Land. Der KREDITSALDO sollte auf Basis des jeweiligen Wertes (Vgl. BELEIHUNGSQUOTE) der die Immobilie pro rata auf die Länder aufgeteilt werden .</t>
  </si>
  <si>
    <t>- En caso de préstamos garantizados por varias propiedades en más de un país, el Saldo Vivo se debe dividir en diversas cantidades, con un sub-préstamo por cada país. El Saldo Vivo debe dividirse porrata entre los países basándose en el valor de la propiedad (ver LTV).</t>
  </si>
  <si>
    <t>- Certain data is requested in both DEFAULT CURRENCY (CURRENCY of country in which assets are based) and in the currency of the LOAN. In most cases these currencies / amounts will be the same.</t>
  </si>
  <si>
    <t>In manchen Fällen wird sowohl nach der STANDARDWÄHRUNG (Wahrung des Landes in welchem sich der Vermögenswert befindet) als auch nach der Währung des Kredits gefragt. In den meisten Fällen sind dies die gleichen Währungen.</t>
  </si>
  <si>
    <t>- Algunos datos se piden en la DIVISA ESTÁNDAR (Divisa del país donde se encuentra el activo) y en la DIVISA del Préstamo. En la mayoría de los casos la divisa es la misma.</t>
  </si>
  <si>
    <t>Where there are syndicated loans ensure all data only reflects the Issuer's proportion of the loan (although for relevant fields using a proportion would not be appropriate, for example prior ranks where the full amount of any prior ranks should be disclosed).</t>
  </si>
  <si>
    <t>Bei syndizierten Krediten bitte nur die Daten angeben, die sich auf den Anteil des Emittenten beziehen (soweit zweckmaessig - bei VORRANGIGEN VERBINDLICHKEITEN ist beispielweise eine Angabe aller vorrangigen Verbindlichkeiten angebracht).</t>
  </si>
  <si>
    <t>-En caso de préstamos sindicados se debe reflejar sólo la parte en el activo del Emisor (aunque en caso de algunos campos como rangos superiores se debe especificar toda la cantidad).</t>
  </si>
  <si>
    <t>Loan information</t>
  </si>
  <si>
    <t>Informationen bzgl. des Kredits</t>
  </si>
  <si>
    <t>Información del PRÉSTAMO</t>
  </si>
  <si>
    <t>Borrower (DEBTOR) Information</t>
  </si>
  <si>
    <t>Informationen bzgl. des SCHULDNERS</t>
  </si>
  <si>
    <t>Información del deudor</t>
  </si>
  <si>
    <t>Property information (if more than one property backs the loan, information should be for all properties backing loan)</t>
  </si>
  <si>
    <t>Informationen bzgl. der Immobilie. Wenn mehr als eine Immobilie als Sicherheiten dienen, sollten Daten über alle Immobilien angegeben werden.</t>
  </si>
  <si>
    <t>Información de la propiedad (en caso de que varias propiedades garanticen el mismo p´restamo, agregar estos valores)</t>
  </si>
  <si>
    <t>Tenant Information (for all properties backing each loan)</t>
  </si>
  <si>
    <t>Informationen bzgl. des Mieters (für jede Immobilie, die als Sicherheit für den Kredit dient)</t>
  </si>
  <si>
    <t xml:space="preserve">Infromación del arrendatario </t>
  </si>
  <si>
    <t>Internal Rating</t>
  </si>
  <si>
    <t>Internes Rating</t>
  </si>
  <si>
    <t>Loan ID</t>
  </si>
  <si>
    <t>Núm. De Identificación del Préstamo</t>
  </si>
  <si>
    <t>numeric reference number</t>
  </si>
  <si>
    <t>Bitte numerisch</t>
  </si>
  <si>
    <t>Préstamo ID</t>
  </si>
  <si>
    <t>DIVISA del Préstamo</t>
  </si>
  <si>
    <t>SALDO VIVO del PRÉSTAMO - 1</t>
  </si>
  <si>
    <t>The current LOAN BALANCE - 1 in DEFAULT CURRENCY (=functional currency, e.g. for Austrian issuers: EUR).</t>
  </si>
  <si>
    <t>Aktueller KREDITSALDO - 1 in STANDARDWÄHRUNG (=funktionale Währung, für deutsche Emittenten i.d.R. EUR).</t>
  </si>
  <si>
    <t>Saldo vivo del Préstamo - 1 en la DIVISA ESTÁNDAR</t>
  </si>
  <si>
    <t>SALDO VIVO del PRÉSTAMO - 2</t>
  </si>
  <si>
    <t>The current LOAN BALANCE - 1 in currency of the loan.</t>
  </si>
  <si>
    <t>Aktueller KREDITSALDO - 1 in der Währung des Kredits.</t>
  </si>
  <si>
    <t>Saldo vivo del Préstamo - 1 en la DIVISA del Préstamo</t>
  </si>
  <si>
    <t>Committed Further Advance</t>
  </si>
  <si>
    <t>Vereinbarte weitere Auszahlung</t>
  </si>
  <si>
    <t>Saldo Disponible</t>
  </si>
  <si>
    <t>Total of all pre agreed further advances that have not yet been drawn</t>
  </si>
  <si>
    <t>Gesamte vereinbarte weitere Auszahlungen, die noch nicht in Anspruch genommen wurden</t>
  </si>
  <si>
    <t>Cantidades comprometidas todavía sin disponer</t>
  </si>
  <si>
    <t>Scheduled LOAN BALANCE at maturity (before refinance) - 1</t>
  </si>
  <si>
    <t>Planmäßiger KREDITSALDO zum Fälligkeitsdatum - 1</t>
  </si>
  <si>
    <t>Saldo vivo del Préstamo a vencimiento (antes de refinanciación) - 1</t>
  </si>
  <si>
    <t>This is the value of the LOAN expected to be outstanding at maturity prior to refinance (in DEFAULT CURRENCY)</t>
  </si>
  <si>
    <t>In STANDARDWÄHRUNG. Erwarteter ausstehender Wert des Kredits zum Fälligkeitsdatum (nicht zum Zinsanpassungstermin). D.h. letzte Tilgungszahlung, oder bei endfaelligen der volle Betrag.</t>
  </si>
  <si>
    <t>Valor que se espera del Préstamo en el momento de refinanciación (En la DIVISA ESTÁNDARD)</t>
  </si>
  <si>
    <t>Scheduled LOAN BALANCE at maturity (before refinance)  - 2</t>
  </si>
  <si>
    <t>Planmäßiger KREDITSALDO zum Fälligkeitsdatum  - 2</t>
  </si>
  <si>
    <t>Saldo vivo del Préstamo a vencimiento (antes de refinanciación) - 2</t>
  </si>
  <si>
    <t>This is the value of the LOAN expected to be outstanding at maturity prior to refinance (in currency of LOAN)</t>
  </si>
  <si>
    <t>In Waehrung des Kredits. Erwarteter ausstehender Wert des Kredits zum Fälligkeitsdatum (nicht zum Zinsanpassungstermin). D.h. letzte Tilgungszahlung, oder bei endfaelligen der volle Betrag.</t>
  </si>
  <si>
    <t>Valor que se espera del Préstamo en el momento de refinanciación (En la DIVISA del Préstamo)</t>
  </si>
  <si>
    <t>REMAINING TERM in months</t>
  </si>
  <si>
    <t>VERBLEIBENDE LAUFZEIT in Monaten</t>
  </si>
  <si>
    <t>VIDA RESTANTE en meses</t>
  </si>
  <si>
    <t>REMAINING TERM of loan in months</t>
  </si>
  <si>
    <t>VERBLEIBENDE LAUFZEIT des Kredits in Monaten</t>
  </si>
  <si>
    <t>Palzo de meses entre la FECHA de INFORME y el vencimiento del Préstamo</t>
  </si>
  <si>
    <t>Scheduled Maturity date on Loan (dd/mm/yyyy)</t>
  </si>
  <si>
    <t>Planmäßiges Fälligkeitsdatum des Kredits (TT/MM/JJJJ)</t>
  </si>
  <si>
    <t>Fecha de vencimeinto del Préstamo (dd/mm/aaaa)</t>
  </si>
  <si>
    <t>in Excel serial numbers, e.g use 39448 for the 1. Jan 2008.</t>
  </si>
  <si>
    <t>Bitte Excel "Seriennummern" benutzen, z.B. 39448 fuer den ersten Januar 2008.</t>
  </si>
  <si>
    <t>Por favor, usen sistema de fechas 1900. Por ejemplo, el 5 de julio de 1998 tiene el numbero de serie 35981.</t>
  </si>
  <si>
    <t>Loan Origination Date (dd/mm/yyyy)</t>
  </si>
  <si>
    <t>Datum der KreditgeWährung (TT/MM/JJJJ)</t>
  </si>
  <si>
    <t>Fecha de concesión del Préstamo (dd/mm/aaaa)</t>
  </si>
  <si>
    <t>WHOLE-LTV</t>
  </si>
  <si>
    <t>GESAMT-Beleihungsquote</t>
  </si>
  <si>
    <t>LTV Total (%)</t>
  </si>
  <si>
    <t>See definition page for WHOLE-LTV. E.g. 0.98 or 98%</t>
  </si>
  <si>
    <t>Vgl. WHOLE-LTV. Z.B. 0.98 oder 98%</t>
  </si>
  <si>
    <t>Ver definición de LTV Total. Por ejemplo, 0.98 o 98%</t>
  </si>
  <si>
    <t>Prior Ranks secured by property/properties</t>
  </si>
  <si>
    <t xml:space="preserve">VORRANGIGE VERBINDLICHKEITEN </t>
  </si>
  <si>
    <t>PRIMEROS RANGOS garantizados por propiedades</t>
  </si>
  <si>
    <t>Equal/pari passu ranking loans should be reported in column CA</t>
  </si>
  <si>
    <t>Bitte berichten Sie gleich bzw. pari passu rangige Kredit in Spalte CA.</t>
  </si>
  <si>
    <t>Saldo de préstamos con mismo rango de pago (pari passu) ha de ser reportado en la columna CA</t>
  </si>
  <si>
    <t>Junior Ranks (incl. 3rd parties)</t>
  </si>
  <si>
    <t xml:space="preserve">Nachrangige Verbindlichkeiten </t>
  </si>
  <si>
    <t>Rangos subordinados.</t>
  </si>
  <si>
    <t>(incl. 3rd parties junior ranks). In DEFAULT CURRENCY</t>
  </si>
  <si>
    <t>(eigene &amp; fremde). In STANDARDWÄHRUNG.</t>
  </si>
  <si>
    <t>en la DIVISA ESTÁNDAR</t>
  </si>
  <si>
    <t>Interest rate type after taking account of any applicable hedges</t>
  </si>
  <si>
    <t>Zinsart nach Berücksichtigung allfälliger Sicherungsgeschäfte.</t>
  </si>
  <si>
    <t>Tipo de interes luego de aplicar cualquier derivado.</t>
  </si>
  <si>
    <t>If interest on loan is fixed, fixed interest rate (in %)</t>
  </si>
  <si>
    <t>Si es a tipo fijo, tipo de interés fijo en %</t>
  </si>
  <si>
    <t>Después de derivados si es aplicable. Sólo enc aso de tipo fijo-</t>
  </si>
  <si>
    <t>MARGIN ON FIXED RATE LOANS (in bps)</t>
  </si>
  <si>
    <t>DURCHSCHNITTLICHE MARGE FÜR FESTVERZINSLICHE KREDITE (in bps):</t>
  </si>
  <si>
    <t>MARGEN MEDIO Préstamos Tipo Fijo(en bps)</t>
  </si>
  <si>
    <t>Ver definiciones.</t>
  </si>
  <si>
    <t>Interest margin, if borrower pays floating rate (in %)</t>
  </si>
  <si>
    <t>Zinsmarge, wenn der Kreditnehmer variabel verzinst (in %)</t>
  </si>
  <si>
    <t>Margen (si el deudor paga tipo flotante) (en %)</t>
  </si>
  <si>
    <t>Margin over BASIS. Only applicable if borrower pays a floating rate (after taking account of applicable hedges).</t>
  </si>
  <si>
    <t>En caso de tipo variable</t>
  </si>
  <si>
    <t>BASIS or reference rate (if borrower pays floating rate)</t>
  </si>
  <si>
    <t>BASIS oder Referenzzinssatz (wenn der Kreditnehmer variabel verzinst)</t>
  </si>
  <si>
    <t>En caso de tipo variable, la base o índice de referencia</t>
  </si>
  <si>
    <t>Only applicable if borrower pays a floating rate (after taking account of applicable hedges).</t>
  </si>
  <si>
    <t>Nur anwendbar, wenn der Kreditnehmer einen variablen Zinssatz zahlt (unter Berücksichtigung der geltenden Absicherungsgeschäfte)</t>
  </si>
  <si>
    <t>Is interest on loan capped until maturity? And what level? (%)</t>
  </si>
  <si>
    <t xml:space="preserve">Zinsdeckelung (Cap), die bis zur Fälligkeit des Kredits gilt (falls bestehend, in [%])? </t>
  </si>
  <si>
    <t>¿Tiene un techo el préstamo hasta su vencimiento? ¿A qué nivel ? (%)</t>
  </si>
  <si>
    <t>Only include caps below if this remains in place until the maturity of the loan.If not, enter "not capped". If capped until maturity enter cap level below.</t>
  </si>
  <si>
    <t>Bitte Zinsobergrenze angeben (nur wenn nur Zinsdeckelung (Cap) bis zur Fälligkeit des Kredits gilt, andernfalls bitte "not capped" eingeben).</t>
  </si>
  <si>
    <t>Sólo incluir caps si se mantienen hasta el vencimiento del Préstamo. Si no, poner "no capped". Enc asod e que exista techo incluir el nivel del mismo.</t>
  </si>
  <si>
    <t>NET CASH - to be received over next year -</t>
  </si>
  <si>
    <t>LAUFENDE EINNAHMEN (NETTO) - kommende 12 Monate</t>
  </si>
  <si>
    <t>CASH NETO -a recibir en el próximo año-</t>
  </si>
  <si>
    <t>Net amount receivable by the Borrower from tenants over the next year (after deduction of all property-related payments for which the Borrower is obliged). See NET CASH</t>
  </si>
  <si>
    <t>Nettobetrag der Zahlungen des Mieters an den Kreditnehmer (abzueglich aller mit der Immobilie verbundenen Zahlungen, zu denen der Kreditnehmer verpfllichtet ist). Vgl. LAUFENDE EINNAHMEN (NETTO).</t>
  </si>
  <si>
    <t>Cantidad neta a recibir de los arrendatarios en el próximo año (tras deducir costes relacionados con al propiedad). Ver CASH NETO.</t>
  </si>
  <si>
    <t>NET CASH  - received over last year -</t>
  </si>
  <si>
    <t>LAUFENDE EINNAHMEN (NETTO) - letzte 12 Monate</t>
  </si>
  <si>
    <t>CASH NETO -recibido en el último año-</t>
  </si>
  <si>
    <t>Net amount received by the Borrower from tenants over previous year (after deduction of all property-related payments for which the Borrower is obliged). See NET CASH</t>
  </si>
  <si>
    <t>Cantidad neta recibida de los arrendatarios en el último año (tras deducir costes relacionados con al propiedad). Ver CASH NETO.</t>
  </si>
  <si>
    <t>DSCR</t>
  </si>
  <si>
    <t>SCHULDENDIENST-DECKUNGSQUOTE</t>
  </si>
  <si>
    <t>See definition page for DSCR</t>
  </si>
  <si>
    <t>Vgl. Tabellenblatt 'Definitions' für SCHULDENDIENSTDECKUNGSQUOTE.</t>
  </si>
  <si>
    <t>Ver Definición de DSCR</t>
  </si>
  <si>
    <t>Timeframe used for calculating the NET CASH and debt service payment in DSCR</t>
  </si>
  <si>
    <t>Betrachteter Zeitraum zur Berechnung der LAUFENDEN EINNAHMEN</t>
  </si>
  <si>
    <t>Perído de cálculo del CASH NETO y Deuda a la hora de calcular DSCR</t>
  </si>
  <si>
    <t>Select from options</t>
  </si>
  <si>
    <t>Seleccionar entre opciones disponibles</t>
  </si>
  <si>
    <t>Principal Payment Frequency</t>
  </si>
  <si>
    <t>Frecuqncia de pago de principal</t>
  </si>
  <si>
    <t>Método de amortización</t>
  </si>
  <si>
    <t>Provisioned Amount (%)</t>
  </si>
  <si>
    <t>Rückstellung in %</t>
  </si>
  <si>
    <t>Cantidad provisionada (%)</t>
  </si>
  <si>
    <t>This should be a current provision and be as a % of the LOAN BALANCE</t>
  </si>
  <si>
    <t>(aktuelle Rückstellung in % des KREDITSALDOS)</t>
  </si>
  <si>
    <t>Provisiones actuales como % sobre el SALDO VIVO</t>
  </si>
  <si>
    <t>Loan performing</t>
  </si>
  <si>
    <t>RÜCKSTÄNDIGE KREDITE</t>
  </si>
  <si>
    <t>Préstamo al corriente</t>
  </si>
  <si>
    <t>DEBTOR ID</t>
  </si>
  <si>
    <t>SCHULDNER ID</t>
  </si>
  <si>
    <t>Número de Identificación del DEUDOR</t>
  </si>
  <si>
    <t>numeric identifier</t>
  </si>
  <si>
    <t>bitte numberisch, keine Buchstaben verwenden.</t>
  </si>
  <si>
    <t>DEUDOR ID</t>
  </si>
  <si>
    <t>DEBTOR name</t>
  </si>
  <si>
    <t>Nombre del deudor</t>
  </si>
  <si>
    <t>Nombre del deudor hipotecario si está disponible</t>
  </si>
  <si>
    <t>DEBTOR type</t>
  </si>
  <si>
    <t>Art des SCHULDNERS</t>
  </si>
  <si>
    <t>Tipo de DEUDOR</t>
  </si>
  <si>
    <t>Recourse to BORROWER</t>
  </si>
  <si>
    <t>Rückgriff auf KREDITNEHMER</t>
  </si>
  <si>
    <t>Recurso al DEUDOR</t>
  </si>
  <si>
    <t xml:space="preserve">Is there any recourse to the assets of the borrower (except property)? Y/N </t>
  </si>
  <si>
    <t>Rückgriff auf Vermögenswerte des KREDITNEHMERS (außer Immobilie)? J/N</t>
  </si>
  <si>
    <t>¿Existe recurso a otros activos del Deudor que no sea la propiedad? Y/N</t>
  </si>
  <si>
    <t>Moody's DEBTOR or Sponsor Rating</t>
  </si>
  <si>
    <t>SCHULDNER oder Sponsor: Moody's Rating</t>
  </si>
  <si>
    <t>Rating de Moody's del Deudor/Sponsor</t>
  </si>
  <si>
    <t>A sponsor rating would be used where a LOAN is to a special purpose vehicle ("SPV") but the SPV is wholly owned/guaranteed by a rated entity. The long term senior unsecured rating should be used</t>
  </si>
  <si>
    <t>Wenn der Kredit an ein SPV gewährt wird und durch eine dritte Partei (Sponsor) garantiert ist, wird das Sponsor-Rating (Long Term Senior Unsecured) herangezogen.</t>
  </si>
  <si>
    <t>El rating del sponsor se utilii el Deudor es un SPV y éste está partciipado totalmente o granatizado por un entidad calificada. Se debe utilizar la calificación no subordinada a largo plazo.</t>
  </si>
  <si>
    <t>S&amp;P DEBTOR or Sponsor Rating</t>
  </si>
  <si>
    <t>SCHULDNER oder Sponsor: S&amp;P Rating</t>
  </si>
  <si>
    <t>Rating de S&amp;P del Deudor/Sponsor</t>
  </si>
  <si>
    <t>A sponsor rating would be used where a LOAN is to a special purpose vehicle but the SPV is wholly owned by a rated entity.</t>
  </si>
  <si>
    <t>Fitch DEBTOR or Sponsor Rating</t>
  </si>
  <si>
    <t>SCHULDNER oder Sponsor: Fitch Rating</t>
  </si>
  <si>
    <t>Rating de Fitch del Deudor/Sponsor</t>
  </si>
  <si>
    <t>A sponsor rating would be used where a LOAN is to a special purpose vehicle but the spv is wholly owned by a rated entity.</t>
  </si>
  <si>
    <t>Property ID</t>
  </si>
  <si>
    <t>Identifikationsnummer Immobilie</t>
  </si>
  <si>
    <t>Número de identificación - propiedad</t>
  </si>
  <si>
    <t>If loan refers to multiple properties, please refer to main property. Numeric.</t>
  </si>
  <si>
    <t>Falls Kredit durch mehrere Immobilien besichert ist, bitte auf Hauptimmobilie abstellen. Bitte numerisch.</t>
  </si>
  <si>
    <t>de la propiedad principal</t>
  </si>
  <si>
    <t>Postal Code</t>
  </si>
  <si>
    <t>PLZ</t>
  </si>
  <si>
    <t>Código Postal</t>
  </si>
  <si>
    <t>Postleitzahl, Zip-Code o.ä.</t>
  </si>
  <si>
    <t>Eligible? (Y/N)</t>
  </si>
  <si>
    <t>Spalte bitte ignorieren</t>
  </si>
  <si>
    <t>Elegible?</t>
  </si>
  <si>
    <t>Applicable only for Spanish Cédulas.</t>
  </si>
  <si>
    <t>Nicht relevant fuer deutsche Emittenten</t>
  </si>
  <si>
    <t>If in construction, please specify construction stage</t>
  </si>
  <si>
    <t>Falls im Bau, Baufortschritt in %</t>
  </si>
  <si>
    <t>Si el prestamo es para Promotor, indique la etapa de construccion</t>
  </si>
  <si>
    <t xml:space="preserve">If in construction, please specify percentage of properties sold. </t>
  </si>
  <si>
    <t xml:space="preserve">Si el prestamo es para Promotor, indique el porecentage de ventas realizadas. </t>
  </si>
  <si>
    <t>Valuation of property/properties - 1 (in DEFAULT CURRENCY)</t>
  </si>
  <si>
    <t>Bewertung der Immobilie(n) - 1 (in STANDARDWÄHRUNG)</t>
  </si>
  <si>
    <t>Tasación de la propiedad -1</t>
  </si>
  <si>
    <t>In DEFAULT CURRENCY</t>
  </si>
  <si>
    <t>in STANDARDWÄHRUNG</t>
  </si>
  <si>
    <t>En la DIVISA ESTÁNDAR</t>
  </si>
  <si>
    <t>Valuation of property/properties - 2 (in currency of the loan)</t>
  </si>
  <si>
    <t>Bewertung der Immobilie(n) - 2 (in der Währung des Kredits)</t>
  </si>
  <si>
    <t>In currency of loan</t>
  </si>
  <si>
    <t>In Währung des Kredits</t>
  </si>
  <si>
    <t>En la DIVISA del Préstamo</t>
  </si>
  <si>
    <t>Date of valuation used for LTV (dd/mm/yyyy)</t>
  </si>
  <si>
    <t>Datum der Bewertung (TT/MM/JJJJ)</t>
  </si>
  <si>
    <t>Fecha de tasación usada en LTV (dd/mm/aaaa)</t>
  </si>
  <si>
    <t>If there are multiple properties use the valuation date of the largest property.</t>
  </si>
  <si>
    <t>Bei mehreren Immobilien Datum der Bewertung der größten Immobilie.</t>
  </si>
  <si>
    <t>En caso de varias propiedads, fecha de la mayor propiedad</t>
  </si>
  <si>
    <t>Valuation Type</t>
  </si>
  <si>
    <t xml:space="preserve">Bewertung </t>
  </si>
  <si>
    <t>Tipo de Valuacion</t>
  </si>
  <si>
    <t>Specify valuation type used in LTV calculation</t>
  </si>
  <si>
    <t>Bitte bestaetigen die in der LTV-Berechnung verwendete Bewertungsart</t>
  </si>
  <si>
    <t>Especificar el tipo de valuación utilizado en el calculo del LTV</t>
  </si>
  <si>
    <t>Vacant Possession Value</t>
  </si>
  <si>
    <t>"Vacant Possession Value"</t>
  </si>
  <si>
    <t>Valor de la Propiedad sin ocupación</t>
  </si>
  <si>
    <t>Date of valuation for Vacant Possession Value (dd/mm/yyyy)</t>
  </si>
  <si>
    <t>Zeitpunkt der Bewertung des "Vacant Possession Value" (TT/MM/JJJJ)</t>
  </si>
  <si>
    <t>Fecha de la Valoración sin ocupación (dd/mm/aaaa)</t>
  </si>
  <si>
    <t>If there are multiple properties use the valuation date of the largest property</t>
  </si>
  <si>
    <t>Country property / properties based in</t>
  </si>
  <si>
    <t>Land, in dem sich die Immobilie(n) befindet/n</t>
  </si>
  <si>
    <t>País donde se ubica la propiedad</t>
  </si>
  <si>
    <t>There should never be more than one country per "loan" - see MULTI-COUNTRY ASSET</t>
  </si>
  <si>
    <t>Nie 2 Länder pro Kredit verwenden - Vgl. VERMÖGENSWERT IN MEHEREN LÄNDERN</t>
  </si>
  <si>
    <t>en caso de más de un país  por préstamo -ver ACTIVOS MULTIJURISDICCIONALES</t>
  </si>
  <si>
    <t>Region in which property / properties based</t>
  </si>
  <si>
    <t>Region in dem sich die Immobilie(n) befindet/n</t>
  </si>
  <si>
    <t>Región en la que se ubica la propiedad</t>
  </si>
  <si>
    <t>If there are multiple properties, use the region of the largest property.</t>
  </si>
  <si>
    <t>En caso de varias propiedades, usar la de la mayor propiedad</t>
  </si>
  <si>
    <t xml:space="preserve">If there are multiple properties, use the region of the largest property. </t>
  </si>
  <si>
    <t xml:space="preserve">Bei mehreren Immobilien Belegenheit der größten Immobilie. </t>
  </si>
  <si>
    <t>Property type</t>
  </si>
  <si>
    <t>Immobilientyp</t>
  </si>
  <si>
    <t>Tipo de Propiedad</t>
  </si>
  <si>
    <t xml:space="preserve">If 50% of the value of properties backing a "loan" relate to a property type, use that property type. Otherwise use mixed use (see also MULTI-COUNTRY ASSET) </t>
  </si>
  <si>
    <t>Wenn ein Immobilientyp ueberwiegt. Sonst GEMISCHTE NUTZUNG VERWENDEN. Vgl. auch VERMÖGENSWERT IN MEHEREN LÄNDERN.</t>
  </si>
  <si>
    <t>En caso de que el 50% de la propiedad se relacione con un tipo de uso de propiedad, usar dicho tipo. En caso contrario usar USO MIXTO</t>
  </si>
  <si>
    <t>How many properties backing loan?</t>
  </si>
  <si>
    <t>Durch wieviele Immobilien ist Kredit besichert?</t>
  </si>
  <si>
    <t>¿Cuántas propiedades garantizan el Préstamo?</t>
  </si>
  <si>
    <t>Number of tenants</t>
  </si>
  <si>
    <t>Anzahl der Mieter</t>
  </si>
  <si>
    <t>Número de arrendatarios</t>
  </si>
  <si>
    <t>Largest tenant by name</t>
  </si>
  <si>
    <t>Name des größten Mieters</t>
  </si>
  <si>
    <t>Nombre del mayor arrendatario si es posible</t>
  </si>
  <si>
    <t>Moody's Rating of Largest Tenant</t>
  </si>
  <si>
    <t>Größter Mieter - Moody's Rating</t>
  </si>
  <si>
    <t>Rating de Moody's del mayor arrendatario</t>
  </si>
  <si>
    <t>Long Term Unsecured Rating verwenden.</t>
  </si>
  <si>
    <t>Usar calificación para la deuda no subordinada a largo plazo</t>
  </si>
  <si>
    <t>S&amp;P Rating of Largest Tenant</t>
  </si>
  <si>
    <t>Größter Mieter - S&amp;P Rating</t>
  </si>
  <si>
    <t>Rating de S&amp;P del mayor arrendatario</t>
  </si>
  <si>
    <t>Fitch Rating of Largest Tenant</t>
  </si>
  <si>
    <t>Größter Mieter - Fitch Rating</t>
  </si>
  <si>
    <t>Rating de Fitch del mayor arrendatario</t>
  </si>
  <si>
    <t>Remaining length of tenancy of largest tenant (in months)</t>
  </si>
  <si>
    <t>Verbleibende Mietzeit des größten Mieters (in Monaten)</t>
  </si>
  <si>
    <t>Vida del contrato de arrendamiento del mayor arrendatario (en meses)</t>
  </si>
  <si>
    <t>This should be to the period from the REPORT DATE up to the earlier of lease maturity or date of first break option under lease.</t>
  </si>
  <si>
    <t xml:space="preserve">Unkündbare verbleibende Mietzeit ab BERICHTSDATUM </t>
  </si>
  <si>
    <t>Desde la FECHA DE INFORME hasta la vida del contrato u opción de salida si es anterior</t>
  </si>
  <si>
    <t>Largest tenant as % of all tenants</t>
  </si>
  <si>
    <t>Größter Mieter in % aller Mieter</t>
  </si>
  <si>
    <t>% del mayor Arrendatario sobre el total</t>
  </si>
  <si>
    <t>Different measures may be used. Please specify measure in next column</t>
  </si>
  <si>
    <t>Verschiedene Methoden zur Messung können angewandt werden. Bitte in naechster Spalte spezifizieren.</t>
  </si>
  <si>
    <t xml:space="preserve">Distintas métodos de medición son posibles. </t>
  </si>
  <si>
    <t>Method largest tenant measured</t>
  </si>
  <si>
    <t>Methode zur Messung des größten Mieters.</t>
  </si>
  <si>
    <t>Método utilizado para valorar mayor arrendatario</t>
  </si>
  <si>
    <t>Type of lease agreed with largest tenant</t>
  </si>
  <si>
    <t>Miettyp mit größtem Mieter</t>
  </si>
  <si>
    <t>Tipo de contrato con el mayor arrendatario</t>
  </si>
  <si>
    <t>Is lease fully repairing and insuring? A fully repairing and insuring lease would mean the largest tenant bears all responsibility for repairs (excluding structural) and all service charges.</t>
  </si>
  <si>
    <t>Werden Reparatur- und Versicherungskosten auf Mieter überwaelzt?</t>
  </si>
  <si>
    <t>El arrendatario asume todos los costes de reparación (excluida reparaciones estructurales) y todos los servicios adjuntos</t>
  </si>
  <si>
    <t>For all tenants: Type of lease agreed with tenants</t>
  </si>
  <si>
    <t>Miettyp für alle Mieter</t>
  </si>
  <si>
    <t>Tipo de contrato con todos los arrendatarios</t>
  </si>
  <si>
    <t>Are all tenant leases fully repairing and insuring? A fully repairing and insuring lease would mean all tenants bear all responsibility for repairs (excluding structural) and all service charges.</t>
  </si>
  <si>
    <t>Los arrendatarios asumen todos los costes de reparación (excluida reparaciones estructurales) y todos los servicios adjuntos</t>
  </si>
  <si>
    <t>For all tenants: Weighted average remaining tenancy term (in months)</t>
  </si>
  <si>
    <t>Für Alle Mieter: Gewichtete durchschnittliche verbleibende Mietzeit (in Monaten)</t>
  </si>
  <si>
    <t>Vida media pondera restante del contrato de arrendamiento de todos los arrendatarios (en meses)</t>
  </si>
  <si>
    <t>Tenancy length should be to the earlier of lease maturity or date of first break option under lease. Different measures may be used. Please specify measure in next column.</t>
  </si>
  <si>
    <t>For all tenants: Method used to weight tenancy length</t>
  </si>
  <si>
    <t>Methode zur Gewichtung der Mietdauer (für alle Mieter)</t>
  </si>
  <si>
    <t>Método utilizado en la ponderación</t>
  </si>
  <si>
    <t>Overall Loan Score</t>
  </si>
  <si>
    <t>INTERNES RATING - Kredit gesamt</t>
  </si>
  <si>
    <t>Score total del Préstamo</t>
  </si>
  <si>
    <t>Property Location Score</t>
  </si>
  <si>
    <t>INTERNES RATING - Lage der Immobilie</t>
  </si>
  <si>
    <t>Score sobre localización de la propiedad</t>
  </si>
  <si>
    <t>Property Quality Score</t>
  </si>
  <si>
    <t>INTERNES RATING - Qualität der Immobilie</t>
  </si>
  <si>
    <t>Score sobre la calidad de la Propiedad</t>
  </si>
  <si>
    <t xml:space="preserve"> Property Quality AND Property Location Score</t>
  </si>
  <si>
    <t>INTERNES RATING - Qualität UND Lage der Immobilie</t>
  </si>
  <si>
    <t>Score sobre la Localización y calidad de la Propiedad</t>
  </si>
  <si>
    <t>DEBTOR Rating Score</t>
  </si>
  <si>
    <t>INTERNES RATING - Schuldner</t>
  </si>
  <si>
    <t>Rating score del DEUDOR</t>
  </si>
  <si>
    <t>Tenant Rating Score (WA of all tenants)</t>
  </si>
  <si>
    <t>INTERNES RATING - Mieter (Gewichteter Durchschnitt aller Mieter)</t>
  </si>
  <si>
    <t>Score de los Arrendatarios (Medio Ponderado)</t>
  </si>
  <si>
    <t>DEBTOR AND Tenant Rating Score</t>
  </si>
  <si>
    <t>INTERNES RATING - Schuldner UND Mieter</t>
  </si>
  <si>
    <t>Rating Score del DEUDOR y Arrendatarios</t>
  </si>
  <si>
    <t>Tenant Rating Score for Largest tenant</t>
  </si>
  <si>
    <t>INTERNES RATING - Größter Mieter</t>
  </si>
  <si>
    <t>Rating score del mayor Arrendatario</t>
  </si>
  <si>
    <t>Rating Score del mayor Arrendatario</t>
  </si>
  <si>
    <t>Gewichtetes Durchschnitt-Rating aller Mieter</t>
  </si>
  <si>
    <t>Rating medio ponderado de todos los arrendatarios</t>
  </si>
  <si>
    <t>Value at loan origination. In DEFAULT CURRENCY (=functional currency, e.g. for Austrian issuers: EUR), same currency as in column "Loan Balance - 1". See also LTV definition.</t>
  </si>
  <si>
    <t>Bewertung zum Zeitpunkt der Kreditgewährung. In STANDARDWÄHRUNG (=funktionale Währung, für deutsche Emittenten i.d.R. EUR). Gleiche Waehrung wie in Spalte "Kreditsaldo - 1".</t>
  </si>
  <si>
    <t>Valoración a fecha de originación. Ver definición de LTV.</t>
  </si>
  <si>
    <t>Value at loan origination. In currency of the loan.</t>
  </si>
  <si>
    <t>Bewertung zum Zeitpunkt der Kreditgewährung. In Währung des Kredits.</t>
  </si>
  <si>
    <t>Valoración a fecha de originación. En la divisa del Préstamo.</t>
  </si>
  <si>
    <t>Updated Valuation of property / properties</t>
  </si>
  <si>
    <t>Aktuelle Bewertung der Immobilie(n)</t>
  </si>
  <si>
    <t>Valoración actualizada de la propiedad</t>
  </si>
  <si>
    <t xml:space="preserve">This should be latest valuation where such has been carried out after the original valuation at time of loan origination. In DEFAULT CURRENCY. </t>
  </si>
  <si>
    <t>In STANDARDWÄHRUNG.</t>
  </si>
  <si>
    <t>Última valoración realizada tras la tasación inicial. En la DIVISA ESTÁNDAR</t>
  </si>
  <si>
    <t>Internal Ratings*</t>
  </si>
  <si>
    <t>Interne Ratings*</t>
  </si>
  <si>
    <t>Rating Interno*</t>
  </si>
  <si>
    <t>Category</t>
  </si>
  <si>
    <t>Kategorie</t>
  </si>
  <si>
    <t>Categorías</t>
  </si>
  <si>
    <t>Target DP (mean)</t>
  </si>
  <si>
    <t>Ziel-Ausfallwk (Ø)</t>
  </si>
  <si>
    <t>Target DP (min)</t>
  </si>
  <si>
    <t>Ziel-Ausfallwk (min)</t>
  </si>
  <si>
    <t>Target DP (max)</t>
  </si>
  <si>
    <t>Ziel-Ausfallwk (max)</t>
  </si>
  <si>
    <t>*please provide separately comprehensive migration matrices.</t>
  </si>
  <si>
    <t>*bitte Ratingmigrations-Matrizen separat bereitstellen.</t>
  </si>
  <si>
    <t>*por favor, otorgen matrices de transición</t>
  </si>
  <si>
    <t>The time from the REPORT DATE to the maturity date, which should be gauged as the longest possible remaining time before the Borrower is scheduled to repay the Loan, taking into account any applicable grace period, ignoring any option rights and reset dates. REMAINING TERM should be measured in months (unless otherwise specified), rounded down to nearest whole month.</t>
  </si>
  <si>
    <t>Zeit zwischen dem BERICHTSDATUM und der Fälligkeit des Kredits. D.h., der Zeitraum nach dem der Kreditnehmer spätestens den Kredit zurückzahlen muss, unter Berücksichtigung jeglicher Nachfristen und ohne Berücksichtigung von Optionsrechten und Zinsneufestlegungsterminen.VERBLEIBENDE LAUFZEIT sollte in Monaten gemessen werden (wenn nicht anders angegeben), abgerundet zum nächsten vollen Monat.</t>
  </si>
  <si>
    <t xml:space="preserve">This worksheet does not need to be completed for transactions where the issuer is rated A2 or above and the level of commercial loans is not particularly high (to be discussed with Moody's on a case by case basis) </t>
  </si>
  <si>
    <t>Emittenten mit A2 Rating oder besser müssen dieses Tabellenblatt nicht ausfüllen wenn der Anteil gewerblicher Kredite nicht besonders hoch ist (bitte im Einzelfall mit Moody's klären)</t>
  </si>
  <si>
    <t xml:space="preserve">No aplicable para emisores con un rating de al menos A2 si el porcentage de PRÉSTAMOS COMERCIAL no es particularmente alto. </t>
  </si>
  <si>
    <t>Commercial Property-by-Property data</t>
  </si>
  <si>
    <t>Gewerbliche Immobilienkredite - Property-by-Property</t>
  </si>
  <si>
    <t>Información CARTERA COMERCIAL - Propiedad a Propiedad</t>
  </si>
  <si>
    <t>If borrowers are related</t>
  </si>
  <si>
    <t>If borrowers are related, i.e. via "Kreditnehmereinheiten"</t>
  </si>
  <si>
    <t>Equal/pari passu ranking loans secured by the property/properties</t>
  </si>
  <si>
    <t>Gleich bzw. pari passu rangige Krdite</t>
  </si>
  <si>
    <t>Saldo de préstamos con mismo rango de pago (pari passu) garantizado por la/s propiedad/es</t>
  </si>
  <si>
    <t>Amount of prior ranking loans in DEFAULT CURRENCY</t>
  </si>
  <si>
    <t>Betrag vorrangiger Kredite in Standardwährung</t>
  </si>
  <si>
    <t>Saldo de préstamos con rango de pago preferente en la divisa estándar</t>
  </si>
  <si>
    <t>Amount of equal ranking loans in DEFAULT CURRENCY</t>
  </si>
  <si>
    <t>Betrag gleichrangiger Kredite in Standardwährung</t>
  </si>
  <si>
    <t>Saldo de préstamos con mismo rango de pago (pari passu) en la divisa estándar</t>
  </si>
  <si>
    <t>ESG Bond</t>
  </si>
  <si>
    <t>ESG Anleihe</t>
  </si>
  <si>
    <t>Bono ESG</t>
  </si>
  <si>
    <t>if applicable, please select the type of ESG bond</t>
  </si>
  <si>
    <t>falls zutrifft, wählen Sie bitte die Art der ESG Anleihe</t>
  </si>
  <si>
    <t>si procede, seleccione el tipo de bono ESG</t>
  </si>
  <si>
    <t>Other features</t>
  </si>
  <si>
    <t>Weitere Merkmale</t>
  </si>
  <si>
    <t>Otras características</t>
  </si>
  <si>
    <t>Optional field to record additional information, e.g., bonds retained for central bank repo or other repo (including 'temporary' tap issuance for short-term repo)</t>
  </si>
  <si>
    <t>Fakultatives Feld für die Festhaltung zusätzlicher Informationen wie z.B. Anleihen, die für Repogeschäfte mit der Zentralbank oder für andere Repos gehalten werden (inklusive "vorübergehende" Daueremissionen für kurzfristige Repogeschäfte)</t>
  </si>
  <si>
    <t>Campo opcional para registrar información adicional, por ejemplo: bonos retenidos para operaciones de repo con el banco central u otra operaciones de repo (incluida la emisión 'temporal' de bonos para repo a corto plazo)</t>
  </si>
  <si>
    <t>Restructured or modified for credit reasons (and not in arrears)</t>
  </si>
  <si>
    <t>11. LOANS IN ARREARS (added 12/03/2018 with v5)</t>
  </si>
  <si>
    <t>Loans that are not in arrears (i.e. performing Loans)</t>
  </si>
  <si>
    <t>Nicht rückständige Kredite</t>
  </si>
  <si>
    <t>Préstamos que no se encuentren en mora (es decir, préstamos a corriente de pago)</t>
  </si>
  <si>
    <t>Performing loans that were restructured or modified for credit reasons (and are not in arrears)</t>
  </si>
  <si>
    <t>Nicht rückständige Kredite, die aus Kreditgründen restrukturiert oder modifiziert wurden.</t>
  </si>
  <si>
    <t>Préstamos a corriente de pago que hayan sido reestructurados o modificados por razones crediticias (y que no es encuentren en mora)</t>
  </si>
  <si>
    <t>15. If applicable - NHG-guaranteed loans</t>
  </si>
  <si>
    <t>Interest-only (bullet) loans, loan origination dates before Jan 2014</t>
  </si>
  <si>
    <t>Interest-only (bullet) loans, loan origination dates on or after Jan 2014</t>
  </si>
  <si>
    <t>Amortising loans, loan origination dates before Jan 2014</t>
  </si>
  <si>
    <t>Amortising loans, loan origination dates on or after Jan 2014</t>
  </si>
  <si>
    <t>Moody's Programme Number:</t>
  </si>
  <si>
    <t>Moody's Programmnummer</t>
  </si>
  <si>
    <t>Número de Programa</t>
  </si>
  <si>
    <t>Legal Framework (Country)</t>
  </si>
  <si>
    <t>Rechtlicher Rahmen (Land)</t>
  </si>
  <si>
    <t>Marco Legal (País)</t>
  </si>
  <si>
    <t>Counterparty Type</t>
  </si>
  <si>
    <t>Art der Gegenpartei</t>
  </si>
  <si>
    <t>Tipo de Contrapartida</t>
  </si>
  <si>
    <t>Sponsor (if applicable)</t>
  </si>
  <si>
    <t>Sponsor (falls zutreffend)</t>
  </si>
  <si>
    <t>Sponsor (si aplica)</t>
  </si>
  <si>
    <t>Servicer (if not group entity)</t>
  </si>
  <si>
    <t>Servicer (falls nicht Konzernunternehmen)</t>
  </si>
  <si>
    <t>Administrador (si es externo a la entidad)</t>
  </si>
  <si>
    <t>Back-up Servicer</t>
  </si>
  <si>
    <t xml:space="preserve">Backup-Servicer </t>
  </si>
  <si>
    <t>Administrador sustituto</t>
  </si>
  <si>
    <t>Back-up Servicer Facilitator</t>
  </si>
  <si>
    <t>Backup-Servicer Vermittler</t>
  </si>
  <si>
    <t>Facilitador administrador sustituto</t>
  </si>
  <si>
    <t>Cash Manager (if not group entity)</t>
  </si>
  <si>
    <t>Cash Manager (falls nicht Konzernunternehmen)</t>
  </si>
  <si>
    <t>Gestor de Liquidez (si es externo a la entidad)</t>
  </si>
  <si>
    <t>Back-up Cash Manager</t>
  </si>
  <si>
    <t>Backup Cash Manager</t>
  </si>
  <si>
    <t>Gestor de Liquidez sustituto</t>
  </si>
  <si>
    <t>Cuenta Bancaria</t>
  </si>
  <si>
    <t>Standby Account Bank</t>
  </si>
  <si>
    <t>Cuenta Bancaria sustituto</t>
  </si>
  <si>
    <t>Account Bank Guarantor</t>
  </si>
  <si>
    <t>Account Bank Garant</t>
  </si>
  <si>
    <t>Garante de la Cuenta Bancaria</t>
  </si>
  <si>
    <t>Maturity Type</t>
  </si>
  <si>
    <t>Fälligkeitsart</t>
  </si>
  <si>
    <t>Tipo de Vencimiento</t>
  </si>
  <si>
    <t>Transaction Counterparty</t>
  </si>
  <si>
    <t>Transaktion Gegenpartei</t>
  </si>
  <si>
    <t>Contrapartida del Programa</t>
  </si>
  <si>
    <t>Hard bullet</t>
  </si>
  <si>
    <t>Soft bullet</t>
  </si>
  <si>
    <t>Soft Bullet</t>
  </si>
  <si>
    <t>Pass Through</t>
  </si>
  <si>
    <t>Mixed</t>
  </si>
  <si>
    <t>Gemischt</t>
  </si>
  <si>
    <t>Mixto</t>
  </si>
  <si>
    <t>Singapur</t>
  </si>
  <si>
    <t>Slowakei</t>
  </si>
  <si>
    <t>Eslovaquia</t>
  </si>
  <si>
    <t>Südkorea</t>
  </si>
  <si>
    <t>Corea del Sur</t>
  </si>
  <si>
    <t>Neuseeland</t>
  </si>
  <si>
    <t>Nueva Zelanda</t>
  </si>
  <si>
    <t>Nicht rückständige Kredite (d.h. performing loans)</t>
  </si>
  <si>
    <t>Zypern</t>
  </si>
  <si>
    <t>Chipre</t>
  </si>
  <si>
    <t>Luxemburg</t>
  </si>
  <si>
    <t>Luxemburgo</t>
  </si>
  <si>
    <t>Rumänien</t>
  </si>
  <si>
    <t>Rumanía</t>
  </si>
  <si>
    <t>Russland</t>
  </si>
  <si>
    <t>Rusia</t>
  </si>
  <si>
    <t>Supranational</t>
  </si>
  <si>
    <t>Überstaatlich</t>
  </si>
  <si>
    <t>Supranacional</t>
  </si>
  <si>
    <t>Türkei</t>
  </si>
  <si>
    <t>Turquía</t>
  </si>
  <si>
    <t>Estland</t>
  </si>
  <si>
    <t>Lettland</t>
  </si>
  <si>
    <t>Letonia</t>
  </si>
  <si>
    <t>Litauen</t>
  </si>
  <si>
    <t>Lituania</t>
  </si>
  <si>
    <t>Bulgarien</t>
  </si>
  <si>
    <t>Kroatien</t>
  </si>
  <si>
    <t>Croacia</t>
  </si>
  <si>
    <t>Slowenien</t>
  </si>
  <si>
    <t>Eslovenia</t>
  </si>
  <si>
    <t>China</t>
  </si>
  <si>
    <t>India</t>
  </si>
  <si>
    <t>Indien</t>
  </si>
  <si>
    <t>Indonesia</t>
  </si>
  <si>
    <t>Indonesien</t>
  </si>
  <si>
    <t>Philippines</t>
  </si>
  <si>
    <t>Philippinen</t>
  </si>
  <si>
    <t>Filipinas</t>
  </si>
  <si>
    <t>Saudi Arabia</t>
  </si>
  <si>
    <t>Saudi-Arabien</t>
  </si>
  <si>
    <t>Arabia Saudí</t>
  </si>
  <si>
    <t>Taiwan</t>
  </si>
  <si>
    <t>Taiwán</t>
  </si>
  <si>
    <t>Thailand</t>
  </si>
  <si>
    <t>Tailandia</t>
  </si>
  <si>
    <t>UAE</t>
  </si>
  <si>
    <t>VAE</t>
  </si>
  <si>
    <t>EAU</t>
  </si>
  <si>
    <t>Argentina</t>
  </si>
  <si>
    <t>Argentinien</t>
  </si>
  <si>
    <t>Brasilien</t>
  </si>
  <si>
    <t>Brasil</t>
  </si>
  <si>
    <t>Mexico</t>
  </si>
  <si>
    <t>Mexiko</t>
  </si>
  <si>
    <t>México</t>
  </si>
  <si>
    <t>Nigeria</t>
  </si>
  <si>
    <t>South Africa</t>
  </si>
  <si>
    <t>Südafrika</t>
  </si>
  <si>
    <t>Sudáfrica</t>
  </si>
  <si>
    <t>USA</t>
  </si>
  <si>
    <t>EEUU</t>
  </si>
  <si>
    <t>Other - Structured</t>
  </si>
  <si>
    <t>Otro - Estructurado</t>
  </si>
  <si>
    <t>Which property value is used in LTV calculation?</t>
  </si>
  <si>
    <t>Welcher Beleihungswert der Immobilie wird für die LTV-Berechnung verwendet?</t>
  </si>
  <si>
    <t>¿Qué valor de la propiedad fue usado en el calculo del LTV?</t>
  </si>
  <si>
    <t>Property value at origination</t>
  </si>
  <si>
    <t>Beleihungswert der Immobilie bei Entstehung</t>
  </si>
  <si>
    <t>Valor de la propiedad a originacion</t>
  </si>
  <si>
    <t>Updated property value</t>
  </si>
  <si>
    <t>Aktualiesierter Beleihungswert der Immobilie</t>
  </si>
  <si>
    <t>Valor actualizado de la propiedad</t>
  </si>
  <si>
    <t>Loan concentration: aggregate exposure to largest 10 loans (in %)</t>
  </si>
  <si>
    <t>Kreditkonzentration: Gesamtengagement in den 10 größten Krediten (in %)</t>
  </si>
  <si>
    <t>El porcentaje acumulado de los 10 mayores prestamos</t>
  </si>
  <si>
    <t>Exposure to loans in non-standard currency (in %)</t>
  </si>
  <si>
    <t>Exposition von  Krediten in Nichtstandardwährung (in %)</t>
  </si>
  <si>
    <t>Porcentaje de prestamos en divisa extranjera</t>
  </si>
  <si>
    <t>Energy Efficiency</t>
  </si>
  <si>
    <t>Energieeffizienz</t>
  </si>
  <si>
    <t>Eficiencia energetica</t>
  </si>
  <si>
    <t>Energy Performance Certificate or other measure of energy efficiency - use blended score/rating for multiple properties</t>
  </si>
  <si>
    <t>Energieausweis oder ein anderes Maß für die Energieeffizienz - verwenden Sie die gemischte Bewertung für mehrere Immobilien</t>
  </si>
  <si>
    <t>Certificado de eficiencia energetica u otra medida de eficiencia energetica. Utilizar promedio cuando existe multiples propiedades</t>
  </si>
  <si>
    <t>Bullet repayment</t>
  </si>
  <si>
    <t>Partial bullet</t>
  </si>
  <si>
    <t>Fully amortising</t>
  </si>
  <si>
    <t>Partially amortising</t>
  </si>
  <si>
    <t>Term deposit</t>
  </si>
  <si>
    <t>Demand deposit</t>
  </si>
  <si>
    <t>Repo transaction</t>
  </si>
  <si>
    <t>Other repayment profile</t>
  </si>
  <si>
    <t>Posteo Colateral - Emisor</t>
  </si>
  <si>
    <t>Si</t>
  </si>
  <si>
    <t>Posteo Colateral - Contrapartida</t>
  </si>
  <si>
    <t>¿Debe la contrapartida postear colateral?</t>
  </si>
  <si>
    <t>Sicherheiten von Gegenpartei - Rating-Trigger</t>
  </si>
  <si>
    <t>Posteo Colateral - Contrapartida - Rating Minimo</t>
  </si>
  <si>
    <t>Bestehen für die Gegenpartei besondere Anforderungen an die Sicherheiten, wenn sie keine Mindestbonität oder -bewertung mehr aufweist? Wenn ja, geben Sie unten die Mindestbewertung ein.</t>
  </si>
  <si>
    <t>En caso de la pérdida del rating minimo por parte de la contrapartida, ¿debe continuar posteando colateral?</t>
  </si>
  <si>
    <t>Counterparty Posting - Collateral Amounts</t>
  </si>
  <si>
    <t>Sicherheiten von Gegenpartei - Sicherheitenbeträge</t>
  </si>
  <si>
    <t>Posteo Colateral - Contrapartida - Monto</t>
  </si>
  <si>
    <t>Select the option which best describes the amount of collateral to be posted by the counterparty after loss of the minimum rating/assessment entered in column X.</t>
  </si>
  <si>
    <t>Wählen Sie die Option aus, die die Höhe der Sicherheiten am besten beschreibt, die der Kontrahent nach dem Verlust des in Spalte X eingegebenen Mindestratings / der Mindestbewertung zu hinterlegen hat.</t>
  </si>
  <si>
    <t>Seleccionar la opcion que mejor describa el monto que la contrapartida debe postear como colateral, luego de la perdida del rating minimo</t>
  </si>
  <si>
    <t>MTM</t>
  </si>
  <si>
    <t>MTM plus buffer</t>
  </si>
  <si>
    <t>MTM plus Puffer</t>
  </si>
  <si>
    <t>MTM + buffer</t>
  </si>
  <si>
    <t>Counterparty Replacement</t>
  </si>
  <si>
    <t>Reemplazo de la contrapartida</t>
  </si>
  <si>
    <t>En caso de la pérdida del rating minimo por parte de la contrapartida, ¿los requerimientos de reemplazo continuarian vigentes?</t>
  </si>
  <si>
    <t>Fixed rate with no reset</t>
  </si>
  <si>
    <t>Fest verzinslich ohne reset</t>
  </si>
  <si>
    <t>Tipo fijo de por vida</t>
  </si>
  <si>
    <t>Supranational - direct claim</t>
  </si>
  <si>
    <t>Supranational - direkter Anspruch</t>
  </si>
  <si>
    <t>Sovereign - direct claim</t>
  </si>
  <si>
    <t>Staat - direkter Anspruch</t>
  </si>
  <si>
    <t>Soberano - Recurso directo</t>
  </si>
  <si>
    <t>Sovereign - guarantee</t>
  </si>
  <si>
    <t>Staat - Garantie</t>
  </si>
  <si>
    <t>Soberano - Garantizado</t>
  </si>
  <si>
    <t>Other public sector - direct claim</t>
  </si>
  <si>
    <t>Anderer öffentlicher Sektor - direkte Anspruch</t>
  </si>
  <si>
    <t>Otro sector publico - Recurso directo</t>
  </si>
  <si>
    <t>Other public sector - guarantee</t>
  </si>
  <si>
    <t>Sonstiger öffentlicher Sektor - Garantie</t>
  </si>
  <si>
    <t>Otro sector publico - Garantizado</t>
  </si>
  <si>
    <t>Bank deposit</t>
  </si>
  <si>
    <t>Bankeinlage</t>
  </si>
  <si>
    <t>Deposito bancario</t>
  </si>
  <si>
    <t>Bank bond (unsecured)</t>
  </si>
  <si>
    <t>Bankanleihe (ungesichert)</t>
  </si>
  <si>
    <t>Bono bancario</t>
  </si>
  <si>
    <t>Covered bond</t>
  </si>
  <si>
    <t>Pfandbrief</t>
  </si>
  <si>
    <t>Securitisation</t>
  </si>
  <si>
    <t>Verbriefung</t>
  </si>
  <si>
    <t>Titulizacion</t>
  </si>
  <si>
    <t>Other eligible asset</t>
  </si>
  <si>
    <t>Andere deckungsstockfähige Vermögen</t>
  </si>
  <si>
    <t>Otro activo elegible</t>
  </si>
  <si>
    <t>Bullet Rückzahlung</t>
  </si>
  <si>
    <t>Teilweise bullet Rückzahlung</t>
  </si>
  <si>
    <t>Völlig amortisierend</t>
  </si>
  <si>
    <t>Teilweise amortisiert</t>
  </si>
  <si>
    <t>Termineinlage</t>
  </si>
  <si>
    <t>Geforderte Einlage</t>
  </si>
  <si>
    <t>Repo-Transaktion</t>
  </si>
  <si>
    <t>Anderes Rückzahlungsprofil</t>
  </si>
  <si>
    <t>LEI</t>
  </si>
  <si>
    <t>KR</t>
  </si>
  <si>
    <t>Legal Entity Identifier</t>
  </si>
  <si>
    <t>Kennzeichnung von Rechtsträger</t>
  </si>
  <si>
    <t>Identificador Legal de la Entidad</t>
  </si>
  <si>
    <t>Kontrahentenbuchung - Sicherheitenbeträge</t>
  </si>
  <si>
    <t>Andere</t>
  </si>
  <si>
    <t>REDs</t>
  </si>
  <si>
    <t>Immobilienentwickler</t>
  </si>
  <si>
    <t>EXPORT FINANCE</t>
  </si>
  <si>
    <t>Export Finance</t>
  </si>
  <si>
    <t>Prestamos a la Exportacion</t>
  </si>
  <si>
    <t>Country of the borrower / importer</t>
  </si>
  <si>
    <t>Land des Schuldners / Importeurs</t>
  </si>
  <si>
    <t>País del Deudor / Importador</t>
  </si>
  <si>
    <t>Export Credit Agency (ECA) Name</t>
  </si>
  <si>
    <t>Name der Exportkreditagentur (EKA)</t>
  </si>
  <si>
    <t>Nombre ECA</t>
  </si>
  <si>
    <t>Country of the ECA</t>
  </si>
  <si>
    <t>Sitzland der EKA</t>
  </si>
  <si>
    <t>País ECA</t>
  </si>
  <si>
    <t>Percentage covered by the ECA</t>
  </si>
  <si>
    <t>Deckung durch EKA in Prozent</t>
  </si>
  <si>
    <t>% COBERTURA ECA</t>
  </si>
  <si>
    <t>Does the ECA act on behalf of the national government?</t>
  </si>
  <si>
    <t>Handelt die EKA im Auftrag des Zentralstaats?</t>
  </si>
  <si>
    <t>Actua la ECA en nombre y por cuenta del estado al que representa?</t>
  </si>
  <si>
    <t>Guarantee type</t>
  </si>
  <si>
    <t>Garantietyp</t>
  </si>
  <si>
    <t>Tipo de gatantía</t>
  </si>
  <si>
    <t>Loan balance (amount disbursed)</t>
  </si>
  <si>
    <t>Kreditsaldo (ausgezahlter Betrag)</t>
  </si>
  <si>
    <t>Importe Contable Dispuesto</t>
  </si>
  <si>
    <t>Loan balance (amount disbursed) covered by the ECA</t>
  </si>
  <si>
    <t>Kreditsaldo (ausgezahlter Betrag) gedeckt durch EKA</t>
  </si>
  <si>
    <t>Importe Dispuesto Cubierto por la ECA</t>
  </si>
  <si>
    <t>Outstanding balance not disbursed</t>
  </si>
  <si>
    <t>Freie Linie</t>
  </si>
  <si>
    <t>Saldo Pendiente Disponer</t>
  </si>
  <si>
    <t>Was the loan originated or bought?</t>
  </si>
  <si>
    <t>Wurde der Kredit selbst vergeben oder gekauft?</t>
  </si>
  <si>
    <t>Préstamo original o adquirido?</t>
  </si>
  <si>
    <t>Is it a syndicated loan?</t>
  </si>
  <si>
    <t>Ist es ein Konsortialkredit?</t>
  </si>
  <si>
    <t>Préstamo sindicado?</t>
  </si>
  <si>
    <t>Lenders</t>
  </si>
  <si>
    <t>Kreditgeber</t>
  </si>
  <si>
    <t>Prestamistas</t>
  </si>
  <si>
    <t>Facility Agent</t>
  </si>
  <si>
    <t>Representante</t>
  </si>
  <si>
    <t>Security Trustee</t>
  </si>
  <si>
    <t>Sicherheitentreuhänder</t>
  </si>
  <si>
    <t>Agente Fiduciario</t>
  </si>
  <si>
    <t>Other guarantors</t>
  </si>
  <si>
    <t>Andere Garantiegeber</t>
  </si>
  <si>
    <t>Otros Garantes</t>
  </si>
  <si>
    <t>Arranger</t>
  </si>
  <si>
    <t>Estructurador</t>
  </si>
  <si>
    <t>Loan description</t>
  </si>
  <si>
    <t>Beschreibung des Kredits</t>
  </si>
  <si>
    <t>Descripción del Préstamo</t>
  </si>
  <si>
    <t>Financial Holding Company</t>
  </si>
  <si>
    <t>Holding Financiero</t>
  </si>
  <si>
    <t>Transport</t>
  </si>
  <si>
    <t>Transporte</t>
  </si>
  <si>
    <t>Construction</t>
  </si>
  <si>
    <t>Construcción</t>
  </si>
  <si>
    <t>Telecommunications</t>
  </si>
  <si>
    <t>Telecomunicaciones</t>
  </si>
  <si>
    <t>Commodities</t>
  </si>
  <si>
    <t>Industria</t>
  </si>
  <si>
    <t>Water and Sanitation</t>
  </si>
  <si>
    <t>Agua y Saneamiento</t>
  </si>
  <si>
    <t>Otros</t>
  </si>
  <si>
    <t>Originated</t>
  </si>
  <si>
    <t>Original</t>
  </si>
  <si>
    <t>Bought</t>
  </si>
  <si>
    <t>Adquirido</t>
  </si>
  <si>
    <t>Individual Information on Export Finance Assets</t>
  </si>
  <si>
    <t>Información individual de los Prestamos a la Exportacion</t>
  </si>
  <si>
    <t>For syndicated loans</t>
  </si>
  <si>
    <t>Para prestamos sindicados</t>
  </si>
  <si>
    <t>Total loan balance (amount disbursed + not disbursed)</t>
  </si>
  <si>
    <t>Gesamter KREDITSALDO (ausbezahlter Betrag + nicht ausbezahlter Betrag)</t>
  </si>
  <si>
    <t>Cantidad Nominal Total del Credito (Saldo vivo no amortizado)</t>
  </si>
  <si>
    <t>Amount of non-recourse to sponsor/iniator</t>
  </si>
  <si>
    <t>Betrag der Darlehen ohne persoenliche Haftung des Sponsors/Eigenkapitalgebers</t>
  </si>
  <si>
    <t>Monto sin recurso a sponsor</t>
  </si>
  <si>
    <t>LOAN BALANCE - 3</t>
  </si>
  <si>
    <t>KREDITSALDO - 3</t>
  </si>
  <si>
    <t>SALDO VIVO del PRÉSTAMO - 3</t>
  </si>
  <si>
    <t>The current LOAN BALANCE - 3 in DEFAULT CURRENCY (=functional currency, e.g. for Austrian issuers: EUR).</t>
  </si>
  <si>
    <t>Aktueller KREDITSALDO - 3 in STANDARDWÄHRUNG (=funktionale Währung, für deutsche Emittenten i.d.R. EUR).</t>
  </si>
  <si>
    <t>Saldo vivo del Préstamo - 3 en la DIVISA ESTÁNDAR</t>
  </si>
  <si>
    <t>LOAN BALANCE - 4</t>
  </si>
  <si>
    <t>KREDITSALDO - 4</t>
  </si>
  <si>
    <t>SALDO VIVO del PRÉSTAMO - 4</t>
  </si>
  <si>
    <t>The current LOAN BALANCE - 3 in currency of the loan.</t>
  </si>
  <si>
    <t>Aktueller KREDITSALDO - 3 in der Währung des Kredits.</t>
  </si>
  <si>
    <t>Saldo vivo del Préstamo - 3 en la DIVISA del Préstamo</t>
  </si>
  <si>
    <t>ELIGIBLE-LTV</t>
  </si>
  <si>
    <t>DECKUNGSTEIL-Beleihungsquote</t>
  </si>
  <si>
    <t>LTV ELEGIBLE</t>
  </si>
  <si>
    <t>See definition page for ELIGIBLE-LTV. E.g. 0.98 or 98%</t>
  </si>
  <si>
    <t>Vgl. ELIGIBLE-LTV. Z.B. 0.98 oder 98%</t>
  </si>
  <si>
    <t>Ver definición de LTV ELEGIBLE. Por ejemplo, 0.98 o 98%</t>
  </si>
  <si>
    <t>Select "Yes" for each series which should not be listed on the bond list in Performance Overviews</t>
  </si>
  <si>
    <t>“Ja” verhindert dass die Serie in den Performance Overviews aufgelistet wird</t>
  </si>
  <si>
    <r>
      <t xml:space="preserve">Seleccionar "Si" para evitar que la emisión sea publicada en el </t>
    </r>
    <r>
      <rPr>
        <i/>
        <sz val="10"/>
        <rFont val="Arial"/>
        <family val="2"/>
      </rPr>
      <t>Performance Overview</t>
    </r>
  </si>
  <si>
    <t>C. ISIN List</t>
  </si>
  <si>
    <t xml:space="preserve">o/w Claim guaranteed by local/municipal authorities </t>
  </si>
  <si>
    <t>AT0000A0H9M3</t>
  </si>
  <si>
    <t>AT0000A0WJW9</t>
  </si>
  <si>
    <t>AT0000A0WM52</t>
  </si>
  <si>
    <t>AT0000A0H9N1</t>
  </si>
  <si>
    <t>XS1551294926</t>
  </si>
  <si>
    <t>AT0000A0H9P6</t>
  </si>
  <si>
    <t>AT0000A0H9Q4</t>
  </si>
  <si>
    <t>AT0000A0H9R2</t>
  </si>
  <si>
    <t>AT0000A0H9S0</t>
  </si>
  <si>
    <t>AT0000A2EK62</t>
  </si>
  <si>
    <t>AT0000A0H9T8</t>
  </si>
  <si>
    <t>AT0000A32Y96</t>
  </si>
  <si>
    <t>XS2773068676</t>
  </si>
  <si>
    <t>AT0000A3B0L7</t>
  </si>
  <si>
    <t>https://www.bawaggroup.com/en/investor-relations/debt-investor/fundings/covered-bonds/public-sector-covered-bonds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</si>
</sst>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quot;€&quot;_-;\-* #,##0.00\ &quot;€&quot;_-;_-* &quot;-&quot;??\ &quot;€&quot;_-;_-@_-"/>
    <numFmt numFmtId="165" formatCode="_(* #,##0.00_);_(* \(#,##0.00\);_(* &quot;-&quot;??_);_(@_)"/>
    <numFmt numFmtId="166" formatCode="_(&quot;$&quot;* #,##0.00_);_(&quot;$&quot;* \(#,##0.00\);_(&quot;$&quot;* &quot;-&quot;??_);_(@_)"/>
    <numFmt numFmtId="167" formatCode="0.00,,"/>
    <numFmt numFmtId="168" formatCode="#,##0.0"/>
    <numFmt numFmtId="169" formatCode="0.0%"/>
    <numFmt numFmtId="170" formatCode="0.0"/>
  </numFmts>
  <fonts count="6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2"/>
      <color indexed="56"/>
      <name val="Arial Black"/>
      <family val="2"/>
    </font>
    <font>
      <b/>
      <sz val="10"/>
      <name val="Arial"/>
      <family val="2"/>
    </font>
    <font>
      <sz val="10"/>
      <name val="Arial"/>
      <family val="2"/>
    </font>
    <font>
      <b/>
      <sz val="9"/>
      <name val="Arial"/>
      <family val="2"/>
    </font>
    <font>
      <sz val="9"/>
      <name val="Arial"/>
      <family val="2"/>
    </font>
    <font>
      <sz val="14"/>
      <name val="Arial"/>
      <family val="2"/>
    </font>
    <font>
      <i/>
      <sz val="10"/>
      <name val="Arial"/>
      <family val="2"/>
    </font>
    <font>
      <b/>
      <sz val="12"/>
      <name val="Arial"/>
      <family val="2"/>
    </font>
    <font>
      <sz val="12"/>
      <name val="Arial Black"/>
      <family val="2"/>
    </font>
    <font>
      <sz val="12"/>
      <name val="Times New Roman"/>
      <family val="1"/>
    </font>
    <font>
      <u/>
      <sz val="12"/>
      <name val="Times New Roman"/>
      <family val="1"/>
    </font>
    <font>
      <b/>
      <sz val="10"/>
      <color indexed="10"/>
      <name val="Arial"/>
      <family val="2"/>
    </font>
    <font>
      <b/>
      <i/>
      <sz val="10"/>
      <name val="Arial"/>
      <family val="2"/>
    </font>
    <font>
      <b/>
      <u/>
      <sz val="10"/>
      <name val="Arial"/>
      <family val="2"/>
    </font>
    <font>
      <sz val="11"/>
      <name val="Arial"/>
      <family val="2"/>
    </font>
    <font>
      <b/>
      <i/>
      <u/>
      <sz val="12"/>
      <name val="Times New Roman"/>
      <family val="1"/>
    </font>
    <font>
      <i/>
      <sz val="10"/>
      <name val="Times New Roman"/>
      <family val="1"/>
    </font>
    <font>
      <sz val="14"/>
      <name val="Arial Black"/>
      <family val="2"/>
    </font>
    <font>
      <i/>
      <sz val="8"/>
      <name val="Arial"/>
      <family val="2"/>
    </font>
    <font>
      <i/>
      <sz val="14"/>
      <name val="Arial Black"/>
      <family val="2"/>
    </font>
    <font>
      <b/>
      <i/>
      <u/>
      <sz val="10"/>
      <name val="Times New Roman"/>
      <family val="1"/>
    </font>
    <font>
      <b/>
      <i/>
      <sz val="12"/>
      <name val="Times New Roman"/>
      <family val="1"/>
    </font>
    <font>
      <i/>
      <sz val="12"/>
      <name val="Times New Roman"/>
      <family val="1"/>
    </font>
    <font>
      <sz val="7"/>
      <color indexed="8"/>
      <name val="Verdana"/>
      <family val="2"/>
    </font>
    <font>
      <sz val="10"/>
      <name val="Bliss Pro Light"/>
      <family val="3"/>
    </font>
    <font>
      <b/>
      <i/>
      <sz val="9"/>
      <name val="Bliss Pro Light"/>
      <family val="3"/>
    </font>
    <font>
      <sz val="10"/>
      <name val="Arial"/>
      <family val="2"/>
    </font>
    <font>
      <b/>
      <sz val="9"/>
      <color indexed="81"/>
      <name val="Tahoma"/>
      <family val="2"/>
    </font>
    <font>
      <sz val="9"/>
      <color indexed="81"/>
      <name val="Tahoma"/>
      <family val="2"/>
    </font>
    <font>
      <sz val="12"/>
      <name val="Arial"/>
      <family val="2"/>
    </font>
    <font>
      <sz val="20"/>
      <color rgb="FF009BE1"/>
      <name val="Bliss Pro ExtraLight"/>
      <family val="3"/>
    </font>
    <font>
      <sz val="8"/>
      <color rgb="FF808080"/>
      <name val="Bliss Pro Bold"/>
      <family val="3"/>
    </font>
    <font>
      <sz val="10"/>
      <color rgb="FF91969B"/>
      <name val="Bliss Pro ExtraLight"/>
      <family val="3"/>
    </font>
    <font>
      <sz val="10"/>
      <color rgb="FFBE0F34"/>
      <name val="Bliss Pro Light"/>
      <family val="3"/>
    </font>
    <font>
      <sz val="14"/>
      <color rgb="FF0070C0"/>
      <name val="Bliss Pro Medium"/>
      <family val="3"/>
    </font>
    <font>
      <sz val="11"/>
      <color theme="1"/>
      <name val="Bliss Pro Light"/>
      <family val="3"/>
    </font>
    <font>
      <sz val="9"/>
      <color theme="1"/>
      <name val="Calibri"/>
      <family val="2"/>
      <scheme val="minor"/>
    </font>
    <font>
      <sz val="10"/>
      <color theme="1"/>
      <name val="Arial"/>
      <family val="2"/>
    </font>
    <font>
      <b/>
      <sz val="11"/>
      <color theme="1"/>
      <name val="Calibri"/>
      <family val="2"/>
      <scheme val="minor"/>
    </font>
    <font>
      <b/>
      <sz val="24"/>
      <color theme="1"/>
      <name val="Calibri"/>
      <family val="2"/>
      <scheme val="minor"/>
    </font>
    <font>
      <b/>
      <sz val="24"/>
      <color theme="9" tint="-0.249977111117893"/>
      <name val="Calibri"/>
      <family val="2"/>
      <scheme val="minor"/>
    </font>
    <font>
      <b/>
      <sz val="14"/>
      <color theme="0"/>
      <name val="Calibri"/>
      <family val="2"/>
      <scheme val="minor"/>
    </font>
    <font>
      <b/>
      <sz val="14"/>
      <color theme="1"/>
      <name val="Calibri"/>
      <family val="2"/>
      <scheme val="minor"/>
    </font>
    <font>
      <sz val="11"/>
      <name val="Calibri"/>
      <family val="2"/>
      <scheme val="minor"/>
    </font>
    <font>
      <b/>
      <u/>
      <sz val="11"/>
      <name val="Calibri"/>
      <family val="2"/>
      <scheme val="minor"/>
    </font>
    <font>
      <u/>
      <sz val="11"/>
      <color theme="10"/>
      <name val="Calibri"/>
      <family val="2"/>
      <scheme val="minor"/>
    </font>
    <font>
      <b/>
      <u/>
      <sz val="11"/>
      <color theme="1"/>
      <name val="Calibri"/>
      <family val="2"/>
      <scheme val="minor"/>
    </font>
    <font>
      <i/>
      <sz val="11"/>
      <color theme="1"/>
      <name val="Calibri"/>
      <family val="2"/>
      <scheme val="minor"/>
    </font>
    <font>
      <i/>
      <sz val="11"/>
      <name val="Calibri"/>
      <family val="2"/>
      <scheme val="minor"/>
    </font>
    <font>
      <b/>
      <u/>
      <sz val="11"/>
      <color theme="10"/>
      <name val="Calibri"/>
      <family val="2"/>
      <scheme val="minor"/>
    </font>
    <font>
      <b/>
      <sz val="11"/>
      <name val="Calibri"/>
      <family val="2"/>
      <scheme val="minor"/>
    </font>
    <font>
      <b/>
      <i/>
      <sz val="11"/>
      <name val="Calibri"/>
      <family val="2"/>
      <scheme val="minor"/>
    </font>
    <font>
      <b/>
      <i/>
      <sz val="11"/>
      <color theme="1"/>
      <name val="Calibri"/>
      <family val="2"/>
      <scheme val="minor"/>
    </font>
    <font>
      <b/>
      <sz val="10"/>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color theme="1"/>
      <name val="Calibri"/>
      <family val="2"/>
      <scheme val="minor"/>
    </font>
    <font>
      <b/>
      <u/>
      <sz val="10"/>
      <color rgb="FF0070C0"/>
      <name val="Arial"/>
      <family val="2"/>
    </font>
    <font>
      <sz val="10"/>
      <name val="Arial"/>
      <family val="2"/>
    </font>
  </fonts>
  <fills count="1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3"/>
        <bgColor indexed="64"/>
      </patternFill>
    </fill>
    <fill>
      <patternFill patternType="solid">
        <fgColor indexed="8"/>
        <bgColor indexed="64"/>
      </patternFill>
    </fill>
    <fill>
      <patternFill patternType="solid">
        <fgColor indexed="51"/>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99CCFF"/>
        <bgColor indexed="64"/>
      </patternFill>
    </fill>
    <fill>
      <patternFill patternType="solid">
        <fgColor theme="0" tint="-0.14999847407452621"/>
        <bgColor indexed="64"/>
      </patternFill>
    </fill>
    <fill>
      <patternFill patternType="solid">
        <fgColor rgb="FF990000"/>
        <bgColor indexed="64"/>
      </patternFill>
    </fill>
  </fills>
  <borders count="5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double">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rgb="FF243386"/>
      </bottom>
      <diagonal/>
    </border>
    <border>
      <left/>
      <right style="medium">
        <color indexed="64"/>
      </right>
      <top style="medium">
        <color indexed="64"/>
      </top>
      <bottom style="medium">
        <color indexed="64"/>
      </bottom>
      <diagonal/>
    </border>
    <border>
      <left style="medium">
        <color rgb="FF990000"/>
      </left>
      <right style="medium">
        <color rgb="FF990000"/>
      </right>
      <top style="medium">
        <color rgb="FF990000"/>
      </top>
      <bottom/>
      <diagonal/>
    </border>
    <border>
      <left style="medium">
        <color rgb="FF990000"/>
      </left>
      <right style="medium">
        <color rgb="FF990000"/>
      </right>
      <top/>
      <bottom/>
      <diagonal/>
    </border>
    <border>
      <left style="medium">
        <color rgb="FF990000"/>
      </left>
      <right style="medium">
        <color rgb="FF990000"/>
      </right>
      <top/>
      <bottom style="medium">
        <color rgb="FF990000"/>
      </bottom>
      <diagonal/>
    </border>
  </borders>
  <cellStyleXfs count="8">
    <xf numFmtId="0" fontId="0" fillId="0" borderId="0">
      <alignment horizontal="left" wrapText="1"/>
    </xf>
    <xf numFmtId="165" fontId="6" fillId="0" borderId="0" applyFont="0" applyFill="0" applyBorder="0" applyAlignment="0" applyProtection="0"/>
    <xf numFmtId="0" fontId="19" fillId="0" borderId="0" applyNumberFormat="0" applyFill="0" applyBorder="0" applyAlignment="0" applyProtection="0">
      <alignment vertical="top"/>
      <protection locked="0"/>
    </xf>
    <xf numFmtId="0" fontId="10" fillId="0" borderId="0">
      <alignment horizontal="left" wrapText="1"/>
    </xf>
    <xf numFmtId="0" fontId="5" fillId="0" borderId="0"/>
    <xf numFmtId="0" fontId="53" fillId="0" borderId="0" applyNumberFormat="0" applyFill="0" applyBorder="0" applyAlignment="0" applyProtection="0"/>
    <xf numFmtId="9" fontId="5" fillId="0" borderId="0" applyFont="0" applyFill="0" applyBorder="0" applyAlignment="0" applyProtection="0"/>
    <xf numFmtId="9" fontId="67" fillId="0" borderId="0" applyFont="0" applyFill="0" applyBorder="0" applyAlignment="0" applyProtection="0"/>
  </cellStyleXfs>
  <cellXfs count="520">
    <xf numFmtId="0" fontId="0" fillId="0" borderId="0" xfId="0" applyAlignment="1"/>
    <xf numFmtId="0" fontId="9" fillId="0" borderId="0" xfId="0" applyFont="1" applyAlignment="1"/>
    <xf numFmtId="0" fontId="11" fillId="0" borderId="10" xfId="0" applyFont="1" applyBorder="1" applyAlignment="1">
      <alignment vertical="top" wrapText="1"/>
    </xf>
    <xf numFmtId="0" fontId="9" fillId="0" borderId="0" xfId="0" applyFont="1" applyAlignment="1">
      <alignment horizontal="center"/>
    </xf>
    <xf numFmtId="0" fontId="9" fillId="0" borderId="11" xfId="0" applyFont="1" applyBorder="1" applyAlignment="1"/>
    <xf numFmtId="0" fontId="9" fillId="0" borderId="4" xfId="0" applyFont="1" applyBorder="1" applyAlignment="1"/>
    <xf numFmtId="0" fontId="0" fillId="0" borderId="0" xfId="0" applyAlignment="1">
      <alignment horizontal="left"/>
    </xf>
    <xf numFmtId="0" fontId="9" fillId="0" borderId="14" xfId="0" applyFont="1" applyBorder="1" applyAlignment="1">
      <alignment vertical="top" wrapText="1"/>
    </xf>
    <xf numFmtId="0" fontId="6" fillId="0" borderId="0" xfId="0" applyFont="1">
      <alignment horizontal="left" wrapText="1"/>
    </xf>
    <xf numFmtId="0" fontId="16" fillId="2" borderId="2" xfId="0" applyFont="1" applyFill="1" applyBorder="1" applyAlignment="1">
      <alignment horizontal="left" vertical="center"/>
    </xf>
    <xf numFmtId="0" fontId="0" fillId="0" borderId="0" xfId="0" applyAlignment="1">
      <alignment horizontal="center"/>
    </xf>
    <xf numFmtId="0" fontId="0" fillId="0" borderId="0" xfId="0" applyAlignment="1">
      <alignment horizontal="center" vertical="center"/>
    </xf>
    <xf numFmtId="0" fontId="13" fillId="0" borderId="0" xfId="0" applyFont="1" applyAlignment="1">
      <alignment horizontal="left" vertical="center" wrapText="1"/>
    </xf>
    <xf numFmtId="0" fontId="17" fillId="0" borderId="0" xfId="0" applyFont="1" applyAlignment="1">
      <alignment horizontal="left" vertical="center" wrapText="1" indent="3"/>
    </xf>
    <xf numFmtId="0" fontId="17" fillId="0" borderId="0" xfId="0" quotePrefix="1" applyFont="1" applyAlignment="1">
      <alignment horizontal="left" vertical="center" wrapText="1" indent="3"/>
    </xf>
    <xf numFmtId="0" fontId="9" fillId="0" borderId="0" xfId="0" applyFont="1" applyAlignment="1">
      <alignment wrapText="1"/>
    </xf>
    <xf numFmtId="0" fontId="20" fillId="0" borderId="0" xfId="0" applyFont="1" applyAlignment="1"/>
    <xf numFmtId="0" fontId="18" fillId="0" borderId="0" xfId="0" applyFont="1" applyAlignment="1">
      <alignment horizontal="left" vertical="center" wrapText="1"/>
    </xf>
    <xf numFmtId="0" fontId="17" fillId="2" borderId="0" xfId="0" applyFont="1" applyFill="1" applyAlignment="1">
      <alignment horizontal="left" vertical="center" wrapText="1" indent="3"/>
    </xf>
    <xf numFmtId="0" fontId="9" fillId="2" borderId="14" xfId="0" applyFont="1" applyFill="1" applyBorder="1" applyProtection="1">
      <alignment horizontal="left" wrapText="1"/>
      <protection hidden="1"/>
    </xf>
    <xf numFmtId="0" fontId="9" fillId="0" borderId="0" xfId="0" applyFont="1" applyAlignment="1">
      <alignment horizontal="left" vertical="center" wrapText="1"/>
    </xf>
    <xf numFmtId="0" fontId="9" fillId="0" borderId="14" xfId="0" applyFont="1" applyBorder="1" applyAlignment="1">
      <alignment horizontal="left" vertical="center" wrapText="1"/>
    </xf>
    <xf numFmtId="0" fontId="9" fillId="2" borderId="0" xfId="0" applyFont="1" applyFill="1" applyAlignment="1">
      <alignment horizontal="left" vertical="center" wrapText="1"/>
    </xf>
    <xf numFmtId="0" fontId="9" fillId="2" borderId="0" xfId="0" applyFont="1" applyFill="1" applyAlignment="1">
      <alignment horizontal="center" vertical="center" wrapText="1"/>
    </xf>
    <xf numFmtId="0" fontId="9" fillId="2" borderId="0" xfId="0" applyFont="1" applyFill="1" applyAlignment="1">
      <alignment wrapText="1"/>
    </xf>
    <xf numFmtId="0" fontId="9" fillId="2" borderId="0" xfId="0" applyFont="1" applyFill="1" applyAlignment="1"/>
    <xf numFmtId="0" fontId="9" fillId="2" borderId="0" xfId="0" quotePrefix="1" applyFont="1" applyFill="1" applyAlignment="1">
      <alignment wrapText="1"/>
    </xf>
    <xf numFmtId="0" fontId="9" fillId="2" borderId="0" xfId="0" quotePrefix="1" applyFont="1" applyFill="1" applyAlignment="1"/>
    <xf numFmtId="0" fontId="20" fillId="2" borderId="0" xfId="0" applyFont="1" applyFill="1" applyAlignment="1">
      <alignment wrapText="1"/>
    </xf>
    <xf numFmtId="0" fontId="9" fillId="0" borderId="0" xfId="0" applyFont="1" applyAlignment="1">
      <alignment horizontal="left"/>
    </xf>
    <xf numFmtId="0" fontId="14" fillId="0" borderId="0" xfId="0" applyFont="1" applyAlignment="1">
      <alignment horizontal="center"/>
    </xf>
    <xf numFmtId="0" fontId="9" fillId="0" borderId="18" xfId="0" applyFont="1" applyBorder="1" applyAlignment="1">
      <alignment horizontal="left" vertical="center" wrapText="1"/>
    </xf>
    <xf numFmtId="0" fontId="9" fillId="2" borderId="18" xfId="0" applyFont="1" applyFill="1" applyBorder="1" applyAlignment="1">
      <alignment horizontal="left" vertical="center" wrapText="1"/>
    </xf>
    <xf numFmtId="0" fontId="17" fillId="0" borderId="18" xfId="0" applyFont="1" applyBorder="1" applyAlignment="1">
      <alignment horizontal="left" vertical="center" wrapText="1"/>
    </xf>
    <xf numFmtId="0" fontId="18" fillId="0" borderId="18" xfId="0" applyFont="1" applyBorder="1" applyAlignment="1">
      <alignment horizontal="left" vertical="center" wrapText="1"/>
    </xf>
    <xf numFmtId="0" fontId="17" fillId="0" borderId="18" xfId="0" quotePrefix="1" applyFont="1" applyBorder="1" applyAlignment="1">
      <alignment horizontal="left" vertical="center" wrapText="1" indent="3"/>
    </xf>
    <xf numFmtId="0" fontId="17" fillId="2" borderId="18" xfId="0" applyFont="1" applyFill="1" applyBorder="1" applyAlignment="1">
      <alignment horizontal="left" vertical="center" wrapText="1" indent="3"/>
    </xf>
    <xf numFmtId="0" fontId="9" fillId="2" borderId="18" xfId="0" applyFont="1" applyFill="1" applyBorder="1" applyAlignment="1">
      <alignment horizontal="center" vertical="center" wrapText="1"/>
    </xf>
    <xf numFmtId="0" fontId="9" fillId="2" borderId="18" xfId="0" applyFont="1" applyFill="1" applyBorder="1" applyAlignment="1">
      <alignment wrapText="1"/>
    </xf>
    <xf numFmtId="0" fontId="9" fillId="0" borderId="18" xfId="0" applyFont="1" applyBorder="1" applyAlignment="1"/>
    <xf numFmtId="0" fontId="20" fillId="0" borderId="18" xfId="0" applyFont="1" applyBorder="1" applyAlignment="1"/>
    <xf numFmtId="0" fontId="9" fillId="2" borderId="18" xfId="0" applyFont="1" applyFill="1" applyBorder="1" applyAlignment="1"/>
    <xf numFmtId="0" fontId="9" fillId="2" borderId="18" xfId="0" quotePrefix="1" applyFont="1" applyFill="1" applyBorder="1" applyAlignment="1">
      <alignment wrapText="1"/>
    </xf>
    <xf numFmtId="0" fontId="9" fillId="2" borderId="18" xfId="0" quotePrefix="1" applyFont="1" applyFill="1" applyBorder="1" applyAlignment="1"/>
    <xf numFmtId="0" fontId="20" fillId="2" borderId="18" xfId="0" applyFont="1" applyFill="1" applyBorder="1" applyAlignment="1">
      <alignment wrapText="1"/>
    </xf>
    <xf numFmtId="0" fontId="9" fillId="0" borderId="20" xfId="0" applyFont="1" applyBorder="1" applyAlignment="1">
      <alignment vertical="top" wrapText="1"/>
    </xf>
    <xf numFmtId="0" fontId="11" fillId="0" borderId="21" xfId="0" applyFont="1" applyBorder="1" applyAlignment="1">
      <alignment vertical="top" wrapText="1"/>
    </xf>
    <xf numFmtId="0" fontId="9" fillId="0" borderId="18" xfId="0" applyFont="1" applyBorder="1" applyAlignment="1">
      <alignment horizontal="left"/>
    </xf>
    <xf numFmtId="0" fontId="9" fillId="0" borderId="22" xfId="0" applyFont="1" applyBorder="1" applyAlignment="1"/>
    <xf numFmtId="0" fontId="16" fillId="2" borderId="23" xfId="0" applyFont="1" applyFill="1" applyBorder="1" applyAlignment="1">
      <alignment horizontal="left" vertical="center"/>
    </xf>
    <xf numFmtId="0" fontId="9" fillId="2" borderId="19" xfId="0" applyFont="1" applyFill="1" applyBorder="1" applyAlignment="1">
      <alignment vertical="center" wrapText="1"/>
    </xf>
    <xf numFmtId="0" fontId="9" fillId="0" borderId="18" xfId="0" quotePrefix="1" applyFont="1" applyBorder="1" applyAlignment="1">
      <alignment horizontal="left" vertical="center" wrapText="1"/>
    </xf>
    <xf numFmtId="0" fontId="14" fillId="0" borderId="18" xfId="0" applyFont="1" applyBorder="1" applyAlignment="1">
      <alignment horizontal="center"/>
    </xf>
    <xf numFmtId="0" fontId="9" fillId="0" borderId="20" xfId="0" applyFont="1" applyBorder="1" applyAlignment="1" applyProtection="1">
      <alignment vertical="top" wrapText="1"/>
      <protection hidden="1"/>
    </xf>
    <xf numFmtId="0" fontId="9" fillId="0" borderId="18" xfId="0" applyFont="1" applyBorder="1" applyAlignment="1">
      <alignment horizontal="center"/>
    </xf>
    <xf numFmtId="0" fontId="9" fillId="0" borderId="24" xfId="0" applyFont="1" applyBorder="1" applyAlignment="1">
      <alignment horizontal="left" vertical="center" wrapText="1"/>
    </xf>
    <xf numFmtId="0" fontId="9" fillId="0" borderId="3" xfId="0" applyFont="1" applyBorder="1" applyAlignment="1"/>
    <xf numFmtId="0" fontId="9" fillId="2" borderId="14" xfId="0" applyFont="1" applyFill="1" applyBorder="1" applyAlignment="1">
      <alignment horizontal="center" vertical="center" wrapText="1"/>
    </xf>
    <xf numFmtId="0" fontId="21" fillId="3" borderId="0" xfId="0" applyFont="1" applyFill="1" applyAlignment="1"/>
    <xf numFmtId="0" fontId="6" fillId="0" borderId="0" xfId="0" applyFont="1" applyAlignment="1"/>
    <xf numFmtId="0" fontId="9" fillId="2" borderId="0" xfId="0" applyFont="1" applyFill="1">
      <alignment horizontal="left" wrapText="1"/>
    </xf>
    <xf numFmtId="0" fontId="16" fillId="2" borderId="3" xfId="0" applyFont="1" applyFill="1" applyBorder="1" applyAlignment="1">
      <alignment horizontal="left" vertical="center"/>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6" fillId="0" borderId="0" xfId="0" applyFont="1" applyAlignment="1">
      <alignment horizontal="left" vertical="center" wrapText="1"/>
    </xf>
    <xf numFmtId="0" fontId="6" fillId="4" borderId="0" xfId="0" applyFont="1" applyFill="1" applyAlignment="1">
      <alignment horizontal="left" vertical="center" wrapText="1"/>
    </xf>
    <xf numFmtId="0" fontId="6" fillId="0" borderId="0" xfId="0" applyFont="1" applyAlignment="1">
      <alignment vertical="center" wrapText="1"/>
    </xf>
    <xf numFmtId="0" fontId="23" fillId="2" borderId="25" xfId="0" applyFont="1" applyFill="1" applyBorder="1" applyAlignment="1" applyProtection="1">
      <alignment vertical="center" wrapText="1"/>
      <protection hidden="1"/>
    </xf>
    <xf numFmtId="0" fontId="9" fillId="2" borderId="23" xfId="2" applyFont="1" applyFill="1" applyBorder="1" applyAlignment="1" applyProtection="1">
      <alignment horizontal="left" vertical="center" wrapText="1"/>
    </xf>
    <xf numFmtId="0" fontId="9" fillId="2" borderId="3" xfId="2" applyFont="1" applyFill="1" applyBorder="1" applyAlignment="1" applyProtection="1">
      <alignment horizontal="left" vertical="center" wrapText="1"/>
    </xf>
    <xf numFmtId="0" fontId="25" fillId="2" borderId="23" xfId="0" applyFont="1" applyFill="1" applyBorder="1" applyAlignment="1">
      <alignment vertical="center" wrapText="1"/>
    </xf>
    <xf numFmtId="0" fontId="25" fillId="2" borderId="2" xfId="0" applyFont="1" applyFill="1" applyBorder="1" applyAlignment="1">
      <alignment vertical="center" wrapText="1"/>
    </xf>
    <xf numFmtId="0" fontId="16" fillId="0" borderId="18" xfId="0" applyFont="1" applyBorder="1" applyAlignment="1">
      <alignment horizontal="left" vertical="center" wrapText="1"/>
    </xf>
    <xf numFmtId="0" fontId="16" fillId="0" borderId="0" xfId="0" applyFont="1" applyAlignment="1">
      <alignment horizontal="left" vertical="center" wrapText="1"/>
    </xf>
    <xf numFmtId="0" fontId="9" fillId="2" borderId="23" xfId="0" applyFont="1" applyFill="1" applyBorder="1" applyAlignment="1">
      <alignment vertical="center"/>
    </xf>
    <xf numFmtId="0" fontId="9" fillId="2" borderId="3" xfId="0" applyFont="1" applyFill="1" applyBorder="1" applyAlignment="1">
      <alignment vertical="center"/>
    </xf>
    <xf numFmtId="0" fontId="9" fillId="0" borderId="18" xfId="0" applyFont="1" applyBorder="1" applyAlignment="1">
      <alignment vertical="center"/>
    </xf>
    <xf numFmtId="0" fontId="9" fillId="2" borderId="26" xfId="0" applyFont="1" applyFill="1" applyBorder="1" applyAlignment="1">
      <alignment vertical="center"/>
    </xf>
    <xf numFmtId="0" fontId="9" fillId="2" borderId="6" xfId="0" applyFont="1" applyFill="1" applyBorder="1" applyAlignment="1">
      <alignment vertical="center"/>
    </xf>
    <xf numFmtId="0" fontId="9" fillId="2" borderId="18" xfId="0" applyFont="1" applyFill="1" applyBorder="1" applyAlignment="1">
      <alignment vertical="center"/>
    </xf>
    <xf numFmtId="0" fontId="9" fillId="2" borderId="4" xfId="0" applyFont="1" applyFill="1" applyBorder="1" applyAlignment="1">
      <alignment vertical="center"/>
    </xf>
    <xf numFmtId="0" fontId="9" fillId="2" borderId="21" xfId="0" applyFont="1" applyFill="1" applyBorder="1" applyAlignment="1">
      <alignment vertical="center"/>
    </xf>
    <xf numFmtId="0" fontId="9" fillId="2" borderId="9" xfId="0" applyFont="1" applyFill="1" applyBorder="1" applyAlignment="1">
      <alignment vertical="center"/>
    </xf>
    <xf numFmtId="0" fontId="9" fillId="2" borderId="23" xfId="0" applyFont="1" applyFill="1" applyBorder="1" applyAlignment="1">
      <alignment vertical="center" wrapText="1"/>
    </xf>
    <xf numFmtId="0" fontId="9" fillId="2" borderId="3" xfId="0" applyFont="1" applyFill="1" applyBorder="1" applyAlignment="1">
      <alignment vertical="center" wrapText="1"/>
    </xf>
    <xf numFmtId="0" fontId="21" fillId="3" borderId="18" xfId="0" applyFont="1" applyFill="1" applyBorder="1" applyAlignment="1"/>
    <xf numFmtId="0" fontId="9" fillId="2" borderId="26" xfId="0" applyFont="1" applyFill="1" applyBorder="1" applyAlignment="1">
      <alignment vertical="center" wrapText="1"/>
    </xf>
    <xf numFmtId="0" fontId="9" fillId="2" borderId="6" xfId="0" applyFont="1" applyFill="1" applyBorder="1" applyAlignment="1">
      <alignment vertical="center" wrapText="1"/>
    </xf>
    <xf numFmtId="0" fontId="9" fillId="2" borderId="27"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26" fillId="2" borderId="28"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16" fillId="0" borderId="18" xfId="0" applyFont="1" applyBorder="1" applyAlignment="1">
      <alignment horizontal="left" vertical="center"/>
    </xf>
    <xf numFmtId="0" fontId="16" fillId="0" borderId="0" xfId="0" applyFont="1" applyAlignment="1">
      <alignment horizontal="left" vertical="center"/>
    </xf>
    <xf numFmtId="0" fontId="9" fillId="0" borderId="23" xfId="0" applyFont="1" applyBorder="1" applyAlignment="1"/>
    <xf numFmtId="0" fontId="16" fillId="2" borderId="23" xfId="0" applyFont="1" applyFill="1" applyBorder="1" applyAlignment="1">
      <alignment horizontal="left" vertical="center" wrapText="1"/>
    </xf>
    <xf numFmtId="0" fontId="9" fillId="0" borderId="19" xfId="0" applyFont="1" applyBorder="1" applyAlignment="1">
      <alignment horizontal="left"/>
    </xf>
    <xf numFmtId="0" fontId="9" fillId="0" borderId="17" xfId="0" applyFont="1" applyBorder="1" applyAlignment="1">
      <alignment horizontal="left"/>
    </xf>
    <xf numFmtId="0" fontId="15" fillId="2" borderId="23" xfId="2" applyFont="1" applyFill="1" applyBorder="1" applyAlignment="1" applyProtection="1">
      <alignment horizontal="left" vertical="center" wrapText="1"/>
    </xf>
    <xf numFmtId="0" fontId="15" fillId="2" borderId="3" xfId="2" applyFont="1" applyFill="1" applyBorder="1" applyAlignment="1" applyProtection="1">
      <alignment horizontal="left" vertical="center" wrapText="1"/>
    </xf>
    <xf numFmtId="0" fontId="16" fillId="2" borderId="28"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23" xfId="0" applyFont="1" applyFill="1" applyBorder="1" applyAlignment="1">
      <alignment vertical="center" wrapText="1"/>
    </xf>
    <xf numFmtId="0" fontId="16" fillId="2" borderId="2" xfId="0" applyFont="1" applyFill="1" applyBorder="1" applyAlignment="1">
      <alignment vertical="center" wrapText="1"/>
    </xf>
    <xf numFmtId="0" fontId="9" fillId="2" borderId="0" xfId="0" applyFont="1" applyFill="1" applyAlignment="1">
      <alignment vertical="center"/>
    </xf>
    <xf numFmtId="0" fontId="9" fillId="0" borderId="18" xfId="0" applyFont="1" applyBorder="1" applyAlignment="1">
      <alignment vertical="center" wrapText="1"/>
    </xf>
    <xf numFmtId="0" fontId="9" fillId="0" borderId="4" xfId="0" applyFont="1" applyBorder="1" applyAlignment="1">
      <alignment vertical="center" wrapText="1"/>
    </xf>
    <xf numFmtId="0" fontId="16" fillId="2" borderId="20" xfId="0" applyFont="1" applyFill="1" applyBorder="1" applyAlignment="1">
      <alignment horizontal="left" vertical="center" wrapText="1"/>
    </xf>
    <xf numFmtId="0" fontId="9" fillId="0" borderId="27" xfId="0" applyFont="1" applyBorder="1" applyAlignment="1"/>
    <xf numFmtId="166" fontId="9" fillId="2" borderId="20" xfId="0" applyNumberFormat="1" applyFont="1" applyFill="1" applyBorder="1" applyAlignment="1">
      <alignment vertical="center" wrapText="1"/>
    </xf>
    <xf numFmtId="166" fontId="9" fillId="2" borderId="14" xfId="0" applyNumberFormat="1" applyFont="1" applyFill="1" applyBorder="1" applyAlignment="1">
      <alignment vertical="center" wrapText="1"/>
    </xf>
    <xf numFmtId="166" fontId="9" fillId="2" borderId="20" xfId="0" applyNumberFormat="1" applyFont="1" applyFill="1" applyBorder="1" applyAlignment="1" applyProtection="1">
      <alignment vertical="center" wrapText="1"/>
      <protection locked="0"/>
    </xf>
    <xf numFmtId="166" fontId="9" fillId="2" borderId="14" xfId="0" applyNumberFormat="1" applyFont="1" applyFill="1" applyBorder="1" applyAlignment="1" applyProtection="1">
      <alignment vertical="center" wrapText="1"/>
      <protection locked="0"/>
    </xf>
    <xf numFmtId="0" fontId="27" fillId="2" borderId="23" xfId="0" applyFont="1" applyFill="1" applyBorder="1" applyAlignment="1">
      <alignment vertical="center" wrapText="1"/>
    </xf>
    <xf numFmtId="0" fontId="27" fillId="2" borderId="2" xfId="0" applyFont="1" applyFill="1" applyBorder="1" applyAlignment="1">
      <alignment vertical="center" wrapText="1"/>
    </xf>
    <xf numFmtId="0" fontId="20" fillId="0" borderId="18" xfId="0" applyFont="1" applyBorder="1" applyAlignment="1">
      <alignment vertical="center"/>
    </xf>
    <xf numFmtId="0" fontId="20" fillId="2" borderId="26" xfId="0" applyFont="1" applyFill="1" applyBorder="1" applyAlignment="1">
      <alignment vertical="center"/>
    </xf>
    <xf numFmtId="0" fontId="20" fillId="2" borderId="6" xfId="0" applyFont="1" applyFill="1" applyBorder="1" applyAlignment="1">
      <alignment vertical="center"/>
    </xf>
    <xf numFmtId="0" fontId="9" fillId="2" borderId="27" xfId="0" applyFont="1" applyFill="1" applyBorder="1" applyAlignment="1">
      <alignment vertical="center"/>
    </xf>
    <xf numFmtId="0" fontId="9" fillId="2" borderId="13" xfId="0" applyFont="1" applyFill="1" applyBorder="1" applyAlignment="1">
      <alignment vertical="center"/>
    </xf>
    <xf numFmtId="0" fontId="12" fillId="2" borderId="19" xfId="0" applyFont="1" applyFill="1" applyBorder="1" applyAlignment="1">
      <alignment vertical="center" wrapText="1"/>
    </xf>
    <xf numFmtId="0" fontId="12" fillId="2" borderId="17" xfId="0" applyFont="1" applyFill="1" applyBorder="1" applyAlignment="1">
      <alignment vertical="center" wrapText="1"/>
    </xf>
    <xf numFmtId="0" fontId="9" fillId="2" borderId="12" xfId="0" applyFont="1" applyFill="1" applyBorder="1" applyAlignment="1">
      <alignment vertical="center" wrapText="1"/>
    </xf>
    <xf numFmtId="0" fontId="12" fillId="2" borderId="21" xfId="0" applyFont="1" applyFill="1" applyBorder="1" applyAlignment="1">
      <alignment vertical="center" wrapText="1"/>
    </xf>
    <xf numFmtId="0" fontId="12" fillId="2" borderId="10" xfId="0" applyFont="1" applyFill="1" applyBorder="1" applyAlignment="1">
      <alignment vertical="center" wrapText="1"/>
    </xf>
    <xf numFmtId="0" fontId="9" fillId="2" borderId="27" xfId="0" applyFont="1" applyFill="1" applyBorder="1" applyAlignment="1">
      <alignment vertical="center" wrapText="1"/>
    </xf>
    <xf numFmtId="0" fontId="9" fillId="2" borderId="13" xfId="0" applyFont="1" applyFill="1" applyBorder="1" applyAlignment="1">
      <alignment vertical="center" wrapText="1"/>
    </xf>
    <xf numFmtId="0" fontId="12" fillId="2" borderId="28" xfId="0" applyFont="1" applyFill="1" applyBorder="1" applyAlignment="1">
      <alignment vertical="center" wrapText="1"/>
    </xf>
    <xf numFmtId="0" fontId="12" fillId="2" borderId="16" xfId="0" applyFont="1" applyFill="1" applyBorder="1" applyAlignment="1">
      <alignment vertical="center" wrapText="1"/>
    </xf>
    <xf numFmtId="0" fontId="20" fillId="3" borderId="18" xfId="0" applyFont="1" applyFill="1" applyBorder="1" applyAlignment="1">
      <alignment vertical="center"/>
    </xf>
    <xf numFmtId="0" fontId="20" fillId="2" borderId="18" xfId="0" applyFont="1" applyFill="1" applyBorder="1" applyAlignment="1">
      <alignment vertical="center"/>
    </xf>
    <xf numFmtId="0" fontId="20" fillId="2" borderId="4" xfId="0" applyFont="1" applyFill="1" applyBorder="1" applyAlignment="1">
      <alignment vertical="center"/>
    </xf>
    <xf numFmtId="0" fontId="12" fillId="2" borderId="9" xfId="0" applyFont="1" applyFill="1" applyBorder="1" applyAlignment="1">
      <alignment vertical="center" wrapText="1"/>
    </xf>
    <xf numFmtId="0" fontId="9" fillId="2" borderId="18" xfId="0" applyFont="1" applyFill="1" applyBorder="1" applyAlignment="1">
      <alignment vertical="center" wrapText="1"/>
    </xf>
    <xf numFmtId="0" fontId="20" fillId="0" borderId="0" xfId="0" applyFont="1" applyAlignment="1">
      <alignment horizontal="left" vertical="center" wrapText="1"/>
    </xf>
    <xf numFmtId="0" fontId="20" fillId="0" borderId="18" xfId="0" applyFont="1" applyBorder="1" applyAlignment="1">
      <alignment horizontal="left" vertical="center" wrapText="1"/>
    </xf>
    <xf numFmtId="0" fontId="9" fillId="2" borderId="12" xfId="0" applyFont="1" applyFill="1" applyBorder="1" applyAlignment="1">
      <alignment vertical="center"/>
    </xf>
    <xf numFmtId="0" fontId="9" fillId="2" borderId="7" xfId="0" applyFont="1" applyFill="1" applyBorder="1" applyAlignment="1">
      <alignment vertical="center"/>
    </xf>
    <xf numFmtId="0" fontId="9" fillId="2" borderId="20" xfId="0" applyFont="1" applyFill="1" applyBorder="1" applyAlignment="1">
      <alignment vertical="center" wrapText="1"/>
    </xf>
    <xf numFmtId="0" fontId="9" fillId="2" borderId="14" xfId="0" applyFont="1" applyFill="1" applyBorder="1" applyAlignment="1">
      <alignmen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6" fillId="0" borderId="31" xfId="0" applyFont="1" applyBorder="1" applyAlignment="1">
      <alignment horizontal="left" vertical="center" wrapText="1"/>
    </xf>
    <xf numFmtId="0" fontId="6" fillId="5" borderId="24" xfId="0" applyFont="1" applyFill="1" applyBorder="1" applyAlignment="1">
      <alignment horizontal="left" vertical="center" wrapText="1"/>
    </xf>
    <xf numFmtId="0" fontId="6" fillId="5" borderId="32"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6" fillId="0" borderId="18" xfId="0" applyFont="1" applyBorder="1" applyAlignment="1">
      <alignment horizontal="left" vertical="center" wrapText="1"/>
    </xf>
    <xf numFmtId="0" fontId="6" fillId="0" borderId="18" xfId="0" applyFont="1" applyBorder="1" applyAlignment="1"/>
    <xf numFmtId="0" fontId="6" fillId="2" borderId="18" xfId="0" applyFont="1" applyFill="1" applyBorder="1" applyAlignment="1"/>
    <xf numFmtId="0" fontId="6" fillId="0" borderId="18" xfId="0" quotePrefix="1" applyFont="1" applyBorder="1" applyAlignment="1">
      <alignment wrapText="1"/>
    </xf>
    <xf numFmtId="0" fontId="6" fillId="0" borderId="18" xfId="0" applyFont="1" applyBorder="1" applyAlignment="1">
      <alignment horizontal="left"/>
    </xf>
    <xf numFmtId="0" fontId="6" fillId="0" borderId="27" xfId="0" applyFont="1" applyBorder="1" applyAlignment="1">
      <alignment horizontal="left"/>
    </xf>
    <xf numFmtId="0" fontId="6" fillId="0" borderId="19" xfId="0" applyFont="1" applyBorder="1" applyAlignment="1">
      <alignment horizontal="left"/>
    </xf>
    <xf numFmtId="0" fontId="6" fillId="0" borderId="19" xfId="2" applyFont="1" applyBorder="1" applyAlignment="1" applyProtection="1">
      <alignment horizontal="left"/>
    </xf>
    <xf numFmtId="0" fontId="6" fillId="0" borderId="34" xfId="0" applyFont="1" applyBorder="1" applyAlignment="1"/>
    <xf numFmtId="0" fontId="6" fillId="0" borderId="27" xfId="0" applyFont="1" applyBorder="1">
      <alignment horizontal="left" wrapText="1"/>
    </xf>
    <xf numFmtId="0" fontId="6" fillId="0" borderId="34" xfId="0" applyFont="1" applyBorder="1" applyAlignment="1">
      <alignment horizontal="left"/>
    </xf>
    <xf numFmtId="0" fontId="6" fillId="0" borderId="19" xfId="0" applyFont="1" applyBorder="1" applyAlignment="1"/>
    <xf numFmtId="0" fontId="6" fillId="0" borderId="19" xfId="0" applyFont="1" applyBorder="1">
      <alignment horizontal="left" wrapText="1"/>
    </xf>
    <xf numFmtId="0" fontId="6" fillId="0" borderId="22" xfId="0" applyFont="1" applyBorder="1">
      <alignment horizontal="left" wrapText="1"/>
    </xf>
    <xf numFmtId="0" fontId="6" fillId="0" borderId="18" xfId="0" applyFont="1" applyBorder="1">
      <alignment horizontal="left" wrapText="1"/>
    </xf>
    <xf numFmtId="0" fontId="6" fillId="0" borderId="35" xfId="0" applyFont="1" applyBorder="1" applyAlignment="1"/>
    <xf numFmtId="0" fontId="6" fillId="0" borderId="18" xfId="0" applyFont="1" applyBorder="1" applyAlignment="1">
      <alignment horizontal="left" indent="1"/>
    </xf>
    <xf numFmtId="0" fontId="6" fillId="0" borderId="18" xfId="0" applyFont="1" applyBorder="1" applyAlignment="1">
      <alignment horizontal="right"/>
    </xf>
    <xf numFmtId="0" fontId="6" fillId="0" borderId="18" xfId="0" applyFont="1" applyBorder="1" applyAlignment="1">
      <alignment horizontal="right" indent="1"/>
    </xf>
    <xf numFmtId="0" fontId="6" fillId="0" borderId="36" xfId="0" applyFont="1" applyBorder="1" applyAlignment="1"/>
    <xf numFmtId="0" fontId="6" fillId="0" borderId="27" xfId="0" applyFont="1" applyBorder="1" applyAlignment="1"/>
    <xf numFmtId="0" fontId="6" fillId="2" borderId="18" xfId="0" applyFont="1" applyFill="1" applyBorder="1" applyAlignment="1">
      <alignment horizontal="left"/>
    </xf>
    <xf numFmtId="0" fontId="6" fillId="0" borderId="18" xfId="0" quotePrefix="1" applyFont="1" applyBorder="1" applyAlignment="1">
      <alignment horizontal="left" vertical="center" wrapText="1"/>
    </xf>
    <xf numFmtId="0" fontId="6" fillId="0" borderId="0" xfId="0" quotePrefix="1" applyFont="1" applyAlignment="1">
      <alignment horizontal="left" vertical="center" wrapText="1"/>
    </xf>
    <xf numFmtId="0" fontId="6" fillId="0" borderId="18" xfId="0" quotePrefix="1" applyFont="1" applyBorder="1" applyAlignment="1"/>
    <xf numFmtId="0" fontId="6" fillId="5" borderId="0" xfId="0" applyFont="1" applyFill="1" applyAlignment="1">
      <alignment horizontal="left" vertical="center" wrapText="1"/>
    </xf>
    <xf numFmtId="0" fontId="6" fillId="5" borderId="31" xfId="0" applyFont="1" applyFill="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6" fillId="0" borderId="18" xfId="0" applyFont="1" applyBorder="1" applyAlignment="1">
      <alignment horizontal="center"/>
    </xf>
    <xf numFmtId="0" fontId="6" fillId="0" borderId="18" xfId="0" applyFont="1" applyBorder="1" applyAlignment="1">
      <alignment horizontal="center" vertical="center"/>
    </xf>
    <xf numFmtId="0" fontId="6" fillId="0" borderId="0" xfId="0" applyFont="1" applyAlignment="1">
      <alignment horizontal="center" vertical="center" wrapText="1"/>
    </xf>
    <xf numFmtId="0" fontId="9" fillId="0" borderId="0" xfId="0" applyFont="1" applyAlignment="1" applyProtection="1">
      <alignment wrapText="1"/>
      <protection locked="0"/>
    </xf>
    <xf numFmtId="0" fontId="28" fillId="2" borderId="29" xfId="0" applyFont="1" applyFill="1" applyBorder="1" applyAlignment="1" applyProtection="1">
      <alignment vertical="center" wrapText="1"/>
      <protection hidden="1"/>
    </xf>
    <xf numFmtId="0" fontId="9" fillId="0" borderId="0" xfId="0" quotePrefix="1" applyFont="1" applyAlignment="1">
      <alignment horizontal="left" vertical="center" wrapText="1"/>
    </xf>
    <xf numFmtId="0" fontId="22" fillId="0" borderId="14" xfId="0" applyFont="1" applyBorder="1" applyAlignment="1">
      <alignment horizontal="left" vertical="center" wrapText="1"/>
    </xf>
    <xf numFmtId="0" fontId="6" fillId="0" borderId="0" xfId="0" applyFont="1" applyAlignment="1">
      <alignment wrapText="1"/>
    </xf>
    <xf numFmtId="0" fontId="25" fillId="2" borderId="2" xfId="0" applyFont="1" applyFill="1" applyBorder="1" applyAlignment="1">
      <alignment horizontal="center" vertical="center" wrapText="1"/>
    </xf>
    <xf numFmtId="0" fontId="6" fillId="0" borderId="0" xfId="0" applyFont="1" applyAlignment="1">
      <alignment horizontal="center"/>
    </xf>
    <xf numFmtId="0" fontId="0" fillId="0" borderId="0" xfId="0" quotePrefix="1" applyAlignment="1">
      <alignment horizontal="left" vertical="center" wrapText="1"/>
    </xf>
    <xf numFmtId="0" fontId="9" fillId="2" borderId="18" xfId="0" applyFont="1" applyFill="1" applyBorder="1" applyAlignment="1">
      <alignment horizontal="left" vertical="top" wrapText="1"/>
    </xf>
    <xf numFmtId="0" fontId="6" fillId="6" borderId="0" xfId="0" applyFont="1" applyFill="1" applyAlignment="1">
      <alignment horizontal="left" vertical="center" wrapText="1"/>
    </xf>
    <xf numFmtId="0" fontId="17" fillId="0" borderId="18" xfId="0" quotePrefix="1" applyFont="1" applyBorder="1" applyAlignment="1">
      <alignment horizontal="left" vertical="center" wrapText="1"/>
    </xf>
    <xf numFmtId="0" fontId="0" fillId="0" borderId="0" xfId="0" applyAlignment="1">
      <alignment horizontal="center" vertical="center" wrapText="1"/>
    </xf>
    <xf numFmtId="0" fontId="0" fillId="0" borderId="0" xfId="0" quotePrefix="1" applyAlignment="1">
      <alignment horizontal="center" vertical="center" wrapText="1"/>
    </xf>
    <xf numFmtId="0" fontId="0" fillId="0" borderId="0" xfId="0" quotePrefix="1" applyAlignment="1" applyProtection="1">
      <alignment horizontal="left" vertical="center"/>
      <protection locked="0"/>
    </xf>
    <xf numFmtId="166" fontId="6" fillId="0" borderId="0" xfId="0" applyNumberFormat="1" applyFont="1" applyAlignment="1">
      <alignment horizontal="left" vertical="center" wrapText="1"/>
    </xf>
    <xf numFmtId="0" fontId="0" fillId="4" borderId="14" xfId="0" applyFill="1" applyBorder="1" applyAlignment="1">
      <alignment horizontal="center"/>
    </xf>
    <xf numFmtId="0" fontId="0" fillId="4" borderId="20" xfId="0" applyFill="1" applyBorder="1" applyAlignment="1">
      <alignment horizontal="center"/>
    </xf>
    <xf numFmtId="0" fontId="0" fillId="4" borderId="41" xfId="0" applyFill="1" applyBorder="1" applyAlignment="1">
      <alignment horizontal="center"/>
    </xf>
    <xf numFmtId="0" fontId="0" fillId="4" borderId="37" xfId="0" applyFill="1" applyBorder="1" applyAlignment="1">
      <alignment horizontal="center"/>
    </xf>
    <xf numFmtId="0" fontId="0" fillId="4" borderId="38" xfId="0" applyFill="1" applyBorder="1" applyAlignment="1">
      <alignment horizontal="center"/>
    </xf>
    <xf numFmtId="0" fontId="0" fillId="4" borderId="39" xfId="0" applyFill="1" applyBorder="1" applyAlignment="1">
      <alignment horizontal="center"/>
    </xf>
    <xf numFmtId="0" fontId="0" fillId="4" borderId="28" xfId="0" applyFill="1" applyBorder="1" applyAlignment="1">
      <alignment horizontal="center"/>
    </xf>
    <xf numFmtId="0" fontId="0" fillId="4" borderId="16" xfId="0" applyFill="1" applyBorder="1" applyAlignment="1">
      <alignment horizontal="center"/>
    </xf>
    <xf numFmtId="0" fontId="9" fillId="4" borderId="42" xfId="0" applyFont="1" applyFill="1" applyBorder="1" applyAlignment="1">
      <alignment horizontal="center"/>
    </xf>
    <xf numFmtId="0" fontId="9" fillId="4" borderId="43" xfId="0" applyFont="1" applyFill="1" applyBorder="1" applyAlignment="1">
      <alignment horizontal="center"/>
    </xf>
    <xf numFmtId="0" fontId="9" fillId="4" borderId="44" xfId="0" applyFont="1" applyFill="1" applyBorder="1" applyAlignment="1">
      <alignment horizontal="center"/>
    </xf>
    <xf numFmtId="0" fontId="17" fillId="0" borderId="0" xfId="0" quotePrefix="1" applyFont="1" applyAlignment="1">
      <alignment horizontal="left" vertical="center" wrapText="1"/>
    </xf>
    <xf numFmtId="0" fontId="6" fillId="0" borderId="0" xfId="0" quotePrefix="1" applyFont="1" applyAlignment="1">
      <alignment horizontal="center" vertical="center" wrapText="1"/>
    </xf>
    <xf numFmtId="0" fontId="17" fillId="9" borderId="18" xfId="0" quotePrefix="1" applyFont="1" applyFill="1" applyBorder="1" applyAlignment="1">
      <alignment horizontal="left" vertical="center" wrapText="1"/>
    </xf>
    <xf numFmtId="0" fontId="9" fillId="2" borderId="4" xfId="2" applyFont="1" applyFill="1" applyBorder="1" applyAlignment="1" applyProtection="1">
      <alignment vertical="center"/>
    </xf>
    <xf numFmtId="0" fontId="17" fillId="6" borderId="0" xfId="0" quotePrefix="1" applyFont="1" applyFill="1" applyAlignment="1">
      <alignment horizontal="left" vertical="center" wrapText="1" indent="3"/>
    </xf>
    <xf numFmtId="0" fontId="17" fillId="6" borderId="18" xfId="0" quotePrefix="1" applyFont="1" applyFill="1" applyBorder="1" applyAlignment="1">
      <alignment horizontal="left" vertical="center" wrapText="1" indent="3"/>
    </xf>
    <xf numFmtId="0" fontId="18" fillId="6" borderId="0" xfId="0" applyFont="1" applyFill="1" applyAlignment="1">
      <alignment horizontal="left" vertical="center" wrapText="1"/>
    </xf>
    <xf numFmtId="0" fontId="31" fillId="0" borderId="0" xfId="0" applyFont="1">
      <alignment horizontal="left" wrapText="1"/>
    </xf>
    <xf numFmtId="0" fontId="6" fillId="4" borderId="14" xfId="0" applyFont="1" applyFill="1" applyBorder="1" applyAlignment="1">
      <alignment horizontal="center"/>
    </xf>
    <xf numFmtId="0" fontId="6" fillId="4" borderId="14" xfId="0" applyFont="1" applyFill="1" applyBorder="1" applyAlignment="1">
      <alignment horizontal="center" wrapText="1"/>
    </xf>
    <xf numFmtId="166" fontId="9" fillId="2" borderId="20" xfId="0" quotePrefix="1" applyNumberFormat="1" applyFont="1" applyFill="1" applyBorder="1" applyAlignment="1">
      <alignment vertical="center" wrapText="1"/>
    </xf>
    <xf numFmtId="0" fontId="8" fillId="2" borderId="3" xfId="0" applyFont="1" applyFill="1" applyBorder="1" applyAlignment="1">
      <alignment horizontal="left" vertical="center" wrapText="1" indent="3"/>
    </xf>
    <xf numFmtId="0" fontId="8" fillId="2" borderId="3" xfId="0" applyFont="1" applyFill="1" applyBorder="1" applyAlignment="1">
      <alignment horizontal="left" vertical="center" indent="3"/>
    </xf>
    <xf numFmtId="0" fontId="17" fillId="2" borderId="18" xfId="0" applyFont="1" applyFill="1" applyBorder="1" applyAlignment="1">
      <alignment horizontal="left" vertical="center" wrapText="1"/>
    </xf>
    <xf numFmtId="0" fontId="9" fillId="2" borderId="21" xfId="0" applyFont="1" applyFill="1" applyBorder="1" applyAlignment="1">
      <alignment vertical="center" wrapText="1"/>
    </xf>
    <xf numFmtId="0" fontId="6" fillId="0" borderId="18" xfId="0" applyFont="1" applyBorder="1" applyAlignment="1">
      <alignment wrapText="1"/>
    </xf>
    <xf numFmtId="0" fontId="21" fillId="3" borderId="18" xfId="0" applyFont="1" applyFill="1" applyBorder="1" applyAlignment="1">
      <alignment wrapText="1"/>
    </xf>
    <xf numFmtId="0" fontId="6" fillId="2" borderId="18" xfId="0" applyFont="1" applyFill="1" applyBorder="1" applyAlignment="1">
      <alignment wrapText="1"/>
    </xf>
    <xf numFmtId="0" fontId="9" fillId="0" borderId="18" xfId="0" applyFont="1" applyBorder="1" applyAlignment="1">
      <alignment wrapText="1"/>
    </xf>
    <xf numFmtId="0" fontId="20" fillId="0" borderId="18" xfId="0" applyFont="1" applyBorder="1" applyAlignment="1">
      <alignment wrapText="1"/>
    </xf>
    <xf numFmtId="0" fontId="9" fillId="0" borderId="23" xfId="0" applyFont="1" applyBorder="1" applyAlignment="1">
      <alignment wrapText="1"/>
    </xf>
    <xf numFmtId="0" fontId="6" fillId="0" borderId="19" xfId="2" applyFont="1" applyBorder="1" applyAlignment="1" applyProtection="1">
      <alignment horizontal="left" wrapText="1"/>
    </xf>
    <xf numFmtId="0" fontId="6" fillId="0" borderId="34" xfId="0" applyFont="1" applyBorder="1" applyAlignment="1">
      <alignment wrapText="1"/>
    </xf>
    <xf numFmtId="0" fontId="9" fillId="0" borderId="19" xfId="0" applyFont="1" applyBorder="1">
      <alignment horizontal="left" wrapText="1"/>
    </xf>
    <xf numFmtId="0" fontId="6" fillId="0" borderId="34" xfId="0" applyFont="1" applyBorder="1">
      <alignment horizontal="left" wrapText="1"/>
    </xf>
    <xf numFmtId="0" fontId="6" fillId="0" borderId="19" xfId="0" applyFont="1" applyBorder="1" applyAlignment="1">
      <alignment wrapText="1"/>
    </xf>
    <xf numFmtId="0" fontId="6" fillId="0" borderId="35" xfId="0" applyFont="1" applyBorder="1" applyAlignment="1">
      <alignment wrapText="1"/>
    </xf>
    <xf numFmtId="0" fontId="9" fillId="0" borderId="18" xfId="0" applyFont="1" applyBorder="1">
      <alignment horizontal="left" wrapText="1"/>
    </xf>
    <xf numFmtId="0" fontId="6" fillId="0" borderId="18" xfId="0" applyFont="1" applyBorder="1" applyAlignment="1">
      <alignment horizontal="right" wrapText="1"/>
    </xf>
    <xf numFmtId="0" fontId="9" fillId="0" borderId="22" xfId="0" applyFont="1" applyBorder="1" applyAlignment="1">
      <alignment wrapText="1"/>
    </xf>
    <xf numFmtId="0" fontId="6" fillId="0" borderId="36" xfId="0" applyFont="1" applyBorder="1" applyAlignment="1">
      <alignment wrapText="1"/>
    </xf>
    <xf numFmtId="0" fontId="9" fillId="0" borderId="27" xfId="0" applyFont="1" applyBorder="1" applyAlignment="1">
      <alignment wrapText="1"/>
    </xf>
    <xf numFmtId="0" fontId="6" fillId="0" borderId="27" xfId="0" applyFont="1" applyBorder="1" applyAlignment="1">
      <alignment wrapText="1"/>
    </xf>
    <xf numFmtId="0" fontId="6" fillId="2" borderId="18" xfId="0" applyFont="1" applyFill="1" applyBorder="1">
      <alignment horizontal="left" wrapText="1"/>
    </xf>
    <xf numFmtId="0" fontId="20" fillId="2" borderId="26" xfId="0" applyFont="1" applyFill="1" applyBorder="1" applyAlignment="1">
      <alignment vertical="center" wrapText="1"/>
    </xf>
    <xf numFmtId="0" fontId="20" fillId="0" borderId="18" xfId="0" applyFont="1" applyBorder="1" applyAlignment="1">
      <alignment vertical="center" wrapText="1"/>
    </xf>
    <xf numFmtId="0" fontId="20" fillId="3" borderId="18" xfId="0" applyFont="1" applyFill="1" applyBorder="1" applyAlignment="1">
      <alignment vertical="center" wrapText="1"/>
    </xf>
    <xf numFmtId="0" fontId="20" fillId="2" borderId="18" xfId="0" applyFont="1" applyFill="1" applyBorder="1" applyAlignment="1">
      <alignment vertical="center" wrapText="1"/>
    </xf>
    <xf numFmtId="0" fontId="20" fillId="0" borderId="18" xfId="2" applyFont="1" applyFill="1" applyBorder="1" applyAlignment="1" applyProtection="1">
      <alignment vertical="center" wrapText="1"/>
    </xf>
    <xf numFmtId="0" fontId="14" fillId="0" borderId="18" xfId="0" applyFont="1" applyBorder="1" applyAlignment="1">
      <alignment horizontal="center" wrapText="1"/>
    </xf>
    <xf numFmtId="0" fontId="9" fillId="0" borderId="18" xfId="0" applyFont="1" applyBorder="1" applyAlignment="1">
      <alignment horizontal="center" wrapText="1"/>
    </xf>
    <xf numFmtId="0" fontId="6" fillId="0" borderId="18" xfId="0" applyFont="1" applyBorder="1" applyAlignment="1">
      <alignment horizontal="center" wrapText="1"/>
    </xf>
    <xf numFmtId="0" fontId="6" fillId="0" borderId="18" xfId="0" applyFont="1" applyBorder="1" applyAlignment="1">
      <alignment horizontal="center" vertical="center" wrapText="1"/>
    </xf>
    <xf numFmtId="0" fontId="9" fillId="7" borderId="20" xfId="0" applyFont="1" applyFill="1" applyBorder="1" applyAlignment="1" applyProtection="1">
      <alignment vertical="top" wrapText="1"/>
      <protection hidden="1"/>
    </xf>
    <xf numFmtId="0" fontId="9" fillId="0" borderId="20" xfId="0" quotePrefix="1" applyFont="1" applyBorder="1" applyAlignment="1" applyProtection="1">
      <alignment vertical="top" wrapText="1"/>
      <protection hidden="1"/>
    </xf>
    <xf numFmtId="10" fontId="9" fillId="0" borderId="18" xfId="2" applyNumberFormat="1" applyFont="1" applyFill="1" applyBorder="1" applyAlignment="1" applyProtection="1">
      <alignment horizontal="left" vertical="center" wrapText="1"/>
    </xf>
    <xf numFmtId="0" fontId="20" fillId="8" borderId="18" xfId="2" applyFont="1" applyFill="1" applyBorder="1" applyAlignment="1" applyProtection="1">
      <alignment vertical="center" wrapText="1"/>
    </xf>
    <xf numFmtId="0" fontId="6" fillId="8" borderId="18" xfId="0" quotePrefix="1" applyFont="1" applyFill="1" applyBorder="1" applyAlignment="1">
      <alignment horizontal="left" vertical="center" wrapText="1"/>
    </xf>
    <xf numFmtId="10" fontId="9" fillId="8" borderId="18" xfId="2" quotePrefix="1" applyNumberFormat="1" applyFont="1" applyFill="1" applyBorder="1" applyAlignment="1" applyProtection="1">
      <alignment horizontal="left" vertical="center" wrapText="1"/>
    </xf>
    <xf numFmtId="0" fontId="6" fillId="6" borderId="0" xfId="0" quotePrefix="1" applyFont="1" applyFill="1" applyAlignment="1">
      <alignment horizontal="left" vertical="center" wrapText="1"/>
    </xf>
    <xf numFmtId="0" fontId="20" fillId="6" borderId="0" xfId="0" applyFont="1" applyFill="1" applyAlignment="1">
      <alignment horizontal="left" vertical="center" wrapText="1"/>
    </xf>
    <xf numFmtId="0" fontId="9" fillId="2" borderId="27" xfId="0" quotePrefix="1" applyFont="1" applyFill="1" applyBorder="1" applyAlignment="1">
      <alignment horizontal="center" vertical="center" wrapText="1"/>
    </xf>
    <xf numFmtId="0" fontId="9" fillId="2" borderId="13" xfId="0" quotePrefix="1" applyFont="1" applyFill="1" applyBorder="1" applyAlignment="1">
      <alignment horizontal="center" vertical="center" wrapText="1"/>
    </xf>
    <xf numFmtId="0" fontId="9" fillId="2" borderId="0" xfId="0" quotePrefix="1" applyFont="1" applyFill="1" applyAlignment="1">
      <alignment horizontal="center" vertical="center" wrapText="1"/>
    </xf>
    <xf numFmtId="0" fontId="9" fillId="2" borderId="0" xfId="0" quotePrefix="1" applyFont="1" applyFill="1" applyAlignment="1">
      <alignment horizontal="center" wrapText="1"/>
    </xf>
    <xf numFmtId="0" fontId="6" fillId="2" borderId="18" xfId="0" quotePrefix="1" applyFont="1" applyFill="1" applyBorder="1" applyAlignment="1">
      <alignment wrapText="1"/>
    </xf>
    <xf numFmtId="0" fontId="9" fillId="2" borderId="0" xfId="0" applyFont="1" applyFill="1" applyAlignment="1">
      <alignment vertical="center" wrapText="1"/>
    </xf>
    <xf numFmtId="0" fontId="6" fillId="9" borderId="0" xfId="0" applyFont="1" applyFill="1" applyAlignment="1">
      <alignment horizontal="left" vertical="center" wrapText="1"/>
    </xf>
    <xf numFmtId="0" fontId="9" fillId="0" borderId="19" xfId="2" applyFont="1" applyFill="1" applyBorder="1" applyAlignment="1" applyProtection="1">
      <alignment horizontal="left" wrapText="1"/>
    </xf>
    <xf numFmtId="0" fontId="20" fillId="0" borderId="0" xfId="0" applyFont="1" applyAlignment="1">
      <alignment vertical="center" wrapText="1"/>
    </xf>
    <xf numFmtId="0" fontId="6" fillId="9" borderId="0" xfId="0" quotePrefix="1" applyFont="1" applyFill="1" applyAlignment="1">
      <alignment horizontal="left" vertical="center" wrapText="1"/>
    </xf>
    <xf numFmtId="0" fontId="6" fillId="0" borderId="21" xfId="0" applyFont="1" applyBorder="1" applyAlignment="1">
      <alignment horizontal="left" vertical="center" wrapText="1"/>
    </xf>
    <xf numFmtId="49" fontId="6" fillId="0" borderId="0" xfId="0" applyNumberFormat="1" applyFont="1" applyAlignment="1">
      <alignment horizontal="left" vertical="center" wrapText="1"/>
    </xf>
    <xf numFmtId="166" fontId="6" fillId="0" borderId="0" xfId="0" quotePrefix="1" applyNumberFormat="1" applyFont="1" applyAlignment="1">
      <alignment horizontal="left" vertical="center" wrapText="1"/>
    </xf>
    <xf numFmtId="0" fontId="20" fillId="0" borderId="18" xfId="0" quotePrefix="1" applyFont="1" applyBorder="1" applyAlignment="1"/>
    <xf numFmtId="0" fontId="20" fillId="0" borderId="0" xfId="0" quotePrefix="1" applyFont="1" applyAlignment="1"/>
    <xf numFmtId="0" fontId="20" fillId="0" borderId="18" xfId="0" quotePrefix="1" applyFont="1" applyBorder="1" applyAlignment="1">
      <alignment wrapText="1"/>
    </xf>
    <xf numFmtId="0" fontId="9" fillId="4" borderId="47" xfId="0" applyFont="1" applyFill="1" applyBorder="1" applyAlignment="1">
      <alignment horizontal="center"/>
    </xf>
    <xf numFmtId="0" fontId="0" fillId="4" borderId="3" xfId="0" applyFill="1" applyBorder="1" applyAlignment="1">
      <alignment horizontal="center"/>
    </xf>
    <xf numFmtId="0" fontId="0" fillId="4" borderId="45" xfId="0" applyFill="1" applyBorder="1" applyAlignment="1">
      <alignment horizontal="center"/>
    </xf>
    <xf numFmtId="0" fontId="9" fillId="4" borderId="48" xfId="0" applyFont="1" applyFill="1" applyBorder="1" applyAlignment="1">
      <alignment horizontal="center"/>
    </xf>
    <xf numFmtId="0" fontId="0" fillId="4" borderId="49" xfId="0" applyFill="1" applyBorder="1" applyAlignment="1">
      <alignment horizontal="center"/>
    </xf>
    <xf numFmtId="0" fontId="6" fillId="0" borderId="21" xfId="0" applyFont="1" applyBorder="1" applyAlignment="1">
      <alignment horizontal="center"/>
    </xf>
    <xf numFmtId="0" fontId="9" fillId="2" borderId="14" xfId="0" applyFont="1" applyFill="1" applyBorder="1" applyAlignment="1" applyProtection="1">
      <alignment horizontal="center" vertical="center" wrapText="1"/>
      <protection locked="0"/>
    </xf>
    <xf numFmtId="166" fontId="0" fillId="0" borderId="0" xfId="0" applyNumberFormat="1" applyAlignment="1">
      <alignment horizontal="left" vertical="center" wrapText="1"/>
    </xf>
    <xf numFmtId="0" fontId="12" fillId="0" borderId="14" xfId="0" applyFont="1" applyBorder="1" applyAlignment="1">
      <alignment horizontal="left" vertical="center" wrapText="1"/>
    </xf>
    <xf numFmtId="0" fontId="22" fillId="0" borderId="14" xfId="0" applyFont="1" applyBorder="1" applyAlignment="1">
      <alignment horizontal="left" vertical="center"/>
    </xf>
    <xf numFmtId="0" fontId="9" fillId="0" borderId="14" xfId="0" applyFont="1" applyBorder="1" applyAlignment="1" applyProtection="1">
      <alignment vertical="top" wrapText="1"/>
      <protection hidden="1"/>
    </xf>
    <xf numFmtId="0" fontId="9" fillId="0" borderId="14" xfId="0" applyFont="1" applyBorder="1" applyAlignment="1" applyProtection="1">
      <alignment horizontal="left" vertical="top" wrapText="1"/>
      <protection hidden="1"/>
    </xf>
    <xf numFmtId="0" fontId="0" fillId="0" borderId="0" xfId="0" applyAlignment="1">
      <alignment horizontal="left" vertical="center" wrapText="1"/>
    </xf>
    <xf numFmtId="0" fontId="10" fillId="11" borderId="0" xfId="3" applyFill="1" applyAlignment="1">
      <alignment vertical="center"/>
    </xf>
    <xf numFmtId="0" fontId="10" fillId="11" borderId="0" xfId="3" applyFill="1" applyAlignment="1"/>
    <xf numFmtId="0" fontId="10" fillId="0" borderId="0" xfId="3" applyAlignment="1"/>
    <xf numFmtId="0" fontId="38" fillId="11" borderId="0" xfId="3" applyFont="1" applyFill="1" applyAlignment="1">
      <alignment vertical="center"/>
    </xf>
    <xf numFmtId="0" fontId="32" fillId="11" borderId="0" xfId="3" applyFont="1" applyFill="1" applyAlignment="1">
      <alignment horizontal="right"/>
    </xf>
    <xf numFmtId="0" fontId="39" fillId="11" borderId="0" xfId="3" applyFont="1" applyFill="1" applyAlignment="1">
      <alignment vertical="center"/>
    </xf>
    <xf numFmtId="0" fontId="40" fillId="11" borderId="0" xfId="3" applyFont="1" applyFill="1" applyAlignment="1">
      <alignment horizontal="right" vertical="center"/>
    </xf>
    <xf numFmtId="14" fontId="32" fillId="0" borderId="0" xfId="3" applyNumberFormat="1" applyFont="1" applyAlignment="1">
      <alignment horizontal="right"/>
    </xf>
    <xf numFmtId="0" fontId="40" fillId="0" borderId="0" xfId="3" applyFont="1" applyAlignment="1">
      <alignment horizontal="right" vertical="center"/>
    </xf>
    <xf numFmtId="0" fontId="33" fillId="11" borderId="0" xfId="3" applyFont="1" applyFill="1" applyAlignment="1">
      <alignment horizontal="right"/>
    </xf>
    <xf numFmtId="0" fontId="41" fillId="11" borderId="0" xfId="3" applyFont="1" applyFill="1" applyAlignment="1">
      <alignment horizontal="right" vertical="center"/>
    </xf>
    <xf numFmtId="0" fontId="42" fillId="11" borderId="0" xfId="3" applyFont="1" applyFill="1" applyAlignment="1">
      <alignment vertical="center"/>
    </xf>
    <xf numFmtId="0" fontId="43" fillId="11" borderId="0" xfId="3" applyFont="1" applyFill="1" applyAlignment="1">
      <alignment vertical="center"/>
    </xf>
    <xf numFmtId="0" fontId="6" fillId="12" borderId="0" xfId="0" applyFont="1" applyFill="1" applyAlignment="1">
      <alignment horizontal="left" vertical="center" wrapText="1"/>
    </xf>
    <xf numFmtId="0" fontId="0" fillId="12" borderId="0" xfId="0" applyFill="1" applyAlignment="1">
      <alignment horizontal="center"/>
    </xf>
    <xf numFmtId="0" fontId="6" fillId="12" borderId="18" xfId="0" applyFont="1" applyFill="1" applyBorder="1" applyAlignment="1">
      <alignment horizontal="center"/>
    </xf>
    <xf numFmtId="0" fontId="0" fillId="12" borderId="0" xfId="0" applyFill="1" applyAlignment="1">
      <alignment horizontal="left" vertical="center" wrapText="1"/>
    </xf>
    <xf numFmtId="0" fontId="34" fillId="0" borderId="0" xfId="0" applyFont="1" applyAlignment="1">
      <alignment horizontal="left" vertical="center" wrapText="1"/>
    </xf>
    <xf numFmtId="0" fontId="9" fillId="12" borderId="0" xfId="0" applyFont="1" applyFill="1" applyAlignment="1">
      <alignment horizontal="left" vertical="center" wrapText="1"/>
    </xf>
    <xf numFmtId="0" fontId="0" fillId="0" borderId="18" xfId="0" applyBorder="1" applyAlignment="1">
      <alignment horizontal="center"/>
    </xf>
    <xf numFmtId="0" fontId="0" fillId="0" borderId="18" xfId="0" applyBorder="1" applyAlignment="1">
      <alignment horizontal="center" wrapText="1"/>
    </xf>
    <xf numFmtId="0" fontId="0" fillId="2" borderId="18" xfId="0" applyFill="1" applyBorder="1" applyAlignment="1"/>
    <xf numFmtId="0" fontId="9" fillId="2" borderId="4" xfId="0" quotePrefix="1" applyFont="1" applyFill="1" applyBorder="1" applyAlignment="1">
      <alignment vertical="center"/>
    </xf>
    <xf numFmtId="0" fontId="0" fillId="0" borderId="19" xfId="0" applyBorder="1" applyAlignment="1"/>
    <xf numFmtId="0" fontId="0" fillId="0" borderId="19" xfId="0" applyBorder="1" applyAlignment="1">
      <alignment wrapText="1"/>
    </xf>
    <xf numFmtId="0" fontId="44" fillId="0" borderId="0" xfId="0" applyFont="1" applyAlignment="1"/>
    <xf numFmtId="0" fontId="0" fillId="0" borderId="0" xfId="0">
      <alignment horizontal="left" wrapText="1"/>
    </xf>
    <xf numFmtId="0" fontId="9" fillId="0" borderId="7" xfId="2" applyFont="1" applyBorder="1" applyAlignment="1" applyProtection="1"/>
    <xf numFmtId="0" fontId="0" fillId="8" borderId="0" xfId="0" applyFill="1" applyAlignment="1">
      <alignment horizontal="left" vertical="center" wrapText="1"/>
    </xf>
    <xf numFmtId="0" fontId="0" fillId="0" borderId="18" xfId="0" quotePrefix="1" applyBorder="1" applyAlignment="1">
      <alignment horizontal="left" vertical="center" wrapText="1"/>
    </xf>
    <xf numFmtId="0" fontId="0" fillId="0" borderId="18" xfId="0" applyBorder="1" applyAlignment="1">
      <alignment horizontal="left" vertical="center" wrapText="1"/>
    </xf>
    <xf numFmtId="0" fontId="6" fillId="0" borderId="0" xfId="0" applyFont="1" applyAlignment="1">
      <alignment vertical="top" wrapText="1"/>
    </xf>
    <xf numFmtId="0" fontId="6" fillId="0" borderId="0" xfId="0" applyFont="1" applyAlignment="1">
      <alignment horizontal="center" vertical="center"/>
    </xf>
    <xf numFmtId="0" fontId="6" fillId="0" borderId="0" xfId="0" quotePrefix="1" applyFont="1" applyAlignment="1">
      <alignment vertical="top" wrapText="1"/>
    </xf>
    <xf numFmtId="0" fontId="6" fillId="0" borderId="0" xfId="0" applyFont="1" applyAlignment="1">
      <alignment horizontal="right"/>
    </xf>
    <xf numFmtId="0" fontId="6" fillId="4" borderId="41" xfId="0" applyFont="1" applyFill="1" applyBorder="1" applyAlignment="1">
      <alignment horizontal="center"/>
    </xf>
    <xf numFmtId="0" fontId="6" fillId="4" borderId="49" xfId="0" applyFont="1" applyFill="1" applyBorder="1" applyAlignment="1">
      <alignment horizontal="center"/>
    </xf>
    <xf numFmtId="0" fontId="6" fillId="0" borderId="0" xfId="0" applyFont="1" applyAlignment="1">
      <alignment horizontal="left"/>
    </xf>
    <xf numFmtId="0" fontId="6" fillId="0" borderId="11" xfId="0" applyFont="1" applyBorder="1" applyAlignment="1">
      <alignment horizontal="center"/>
    </xf>
    <xf numFmtId="0" fontId="6" fillId="4" borderId="28" xfId="0" applyFont="1" applyFill="1" applyBorder="1" applyAlignment="1">
      <alignment horizontal="center"/>
    </xf>
    <xf numFmtId="0" fontId="6" fillId="12" borderId="0" xfId="0" applyFont="1" applyFill="1" applyAlignment="1">
      <alignment horizontal="center"/>
    </xf>
    <xf numFmtId="0" fontId="6" fillId="2" borderId="20" xfId="2" applyFont="1" applyFill="1" applyBorder="1" applyAlignment="1" applyProtection="1">
      <alignment horizontal="left" vertical="center" wrapText="1" indent="2"/>
    </xf>
    <xf numFmtId="0" fontId="6" fillId="2" borderId="14" xfId="2" applyFont="1" applyFill="1" applyBorder="1" applyAlignment="1" applyProtection="1">
      <alignment horizontal="left" vertical="center" wrapText="1" indent="2"/>
    </xf>
    <xf numFmtId="0" fontId="6" fillId="2" borderId="20" xfId="2" applyFont="1" applyFill="1" applyBorder="1" applyAlignment="1" applyProtection="1">
      <alignment horizontal="left" vertical="center" wrapText="1"/>
    </xf>
    <xf numFmtId="0" fontId="6" fillId="2" borderId="0" xfId="0" applyFont="1" applyFill="1" applyAlignment="1"/>
    <xf numFmtId="0" fontId="6" fillId="2" borderId="0" xfId="0" quotePrefix="1" applyFont="1" applyFill="1" applyAlignment="1"/>
    <xf numFmtId="0" fontId="9" fillId="2" borderId="18" xfId="0" applyFont="1" applyFill="1" applyBorder="1" applyAlignment="1">
      <alignment horizontal="left" vertical="center"/>
    </xf>
    <xf numFmtId="0" fontId="6" fillId="0" borderId="0" xfId="0" quotePrefix="1" applyFont="1" applyAlignment="1">
      <alignment wrapText="1"/>
    </xf>
    <xf numFmtId="0" fontId="6" fillId="0" borderId="18" xfId="0" quotePrefix="1" applyFont="1" applyBorder="1" applyAlignment="1">
      <alignment vertical="center" wrapText="1"/>
    </xf>
    <xf numFmtId="0" fontId="6" fillId="0" borderId="0" xfId="0" quotePrefix="1" applyFont="1" applyAlignment="1">
      <alignment vertical="center" wrapText="1"/>
    </xf>
    <xf numFmtId="0" fontId="6" fillId="0" borderId="17" xfId="0" applyFont="1" applyBorder="1" applyAlignment="1">
      <alignment horizontal="left"/>
    </xf>
    <xf numFmtId="0" fontId="6" fillId="0" borderId="17" xfId="2" applyFont="1" applyBorder="1" applyAlignment="1" applyProtection="1">
      <alignment horizontal="left"/>
    </xf>
    <xf numFmtId="0" fontId="6" fillId="0" borderId="15" xfId="0" applyFont="1" applyBorder="1" applyAlignment="1"/>
    <xf numFmtId="0" fontId="6" fillId="0" borderId="15" xfId="0" applyFont="1" applyBorder="1" applyAlignment="1">
      <alignment horizontal="left"/>
    </xf>
    <xf numFmtId="0" fontId="9" fillId="0" borderId="27" xfId="2" applyFont="1" applyBorder="1" applyAlignment="1" applyProtection="1"/>
    <xf numFmtId="0" fontId="9" fillId="0" borderId="27" xfId="2" applyFont="1" applyBorder="1" applyAlignment="1" applyProtection="1">
      <alignment wrapText="1"/>
    </xf>
    <xf numFmtId="0" fontId="6" fillId="0" borderId="40" xfId="0" applyFont="1" applyBorder="1" applyAlignment="1"/>
    <xf numFmtId="0" fontId="6" fillId="0" borderId="18" xfId="0" applyFont="1" applyBorder="1" applyAlignment="1">
      <alignment vertical="top" wrapText="1"/>
    </xf>
    <xf numFmtId="0" fontId="6" fillId="0" borderId="5" xfId="0" applyFont="1" applyBorder="1">
      <alignment horizontal="left" wrapText="1"/>
    </xf>
    <xf numFmtId="0" fontId="6" fillId="0" borderId="4" xfId="0" applyFont="1" applyBorder="1">
      <alignment horizontal="left" wrapText="1"/>
    </xf>
    <xf numFmtId="0" fontId="6" fillId="0" borderId="18" xfId="2" applyFont="1" applyBorder="1" applyAlignment="1" applyProtection="1">
      <alignment horizontal="left" wrapText="1"/>
    </xf>
    <xf numFmtId="0" fontId="6" fillId="0" borderId="18" xfId="2" applyFont="1" applyBorder="1" applyAlignment="1" applyProtection="1">
      <alignment horizontal="left" vertical="center" wrapText="1"/>
    </xf>
    <xf numFmtId="10" fontId="6" fillId="0" borderId="18" xfId="2" applyNumberFormat="1" applyFont="1" applyBorder="1" applyAlignment="1" applyProtection="1">
      <alignment horizontal="left" vertical="center" wrapText="1"/>
    </xf>
    <xf numFmtId="10" fontId="6" fillId="0" borderId="0" xfId="2" applyNumberFormat="1" applyFont="1" applyBorder="1" applyAlignment="1" applyProtection="1">
      <alignment horizontal="left" vertical="center" wrapText="1"/>
    </xf>
    <xf numFmtId="0" fontId="6" fillId="0" borderId="5" xfId="2" applyFont="1" applyBorder="1" applyAlignment="1" applyProtection="1">
      <alignment horizontal="left" wrapText="1"/>
    </xf>
    <xf numFmtId="0" fontId="6" fillId="0" borderId="22" xfId="2" applyFont="1" applyBorder="1" applyAlignment="1" applyProtection="1">
      <alignment horizontal="left" wrapText="1"/>
    </xf>
    <xf numFmtId="0" fontId="6" fillId="0" borderId="11" xfId="0" applyFont="1" applyBorder="1">
      <alignment horizontal="left" wrapText="1"/>
    </xf>
    <xf numFmtId="0" fontId="6" fillId="0" borderId="22" xfId="0" applyFont="1" applyBorder="1" applyAlignment="1"/>
    <xf numFmtId="0" fontId="6" fillId="0" borderId="11" xfId="0" applyFont="1" applyBorder="1" applyAlignment="1"/>
    <xf numFmtId="0" fontId="6" fillId="0" borderId="46" xfId="0" applyFont="1" applyBorder="1" applyAlignment="1"/>
    <xf numFmtId="0" fontId="6" fillId="0" borderId="18" xfId="0" applyFont="1" applyBorder="1" applyAlignment="1">
      <alignment vertical="center" wrapText="1"/>
    </xf>
    <xf numFmtId="0" fontId="6" fillId="0" borderId="14" xfId="0" quotePrefix="1" applyFont="1" applyBorder="1" applyAlignment="1">
      <alignment vertical="top" wrapText="1"/>
    </xf>
    <xf numFmtId="0" fontId="6" fillId="0" borderId="0" xfId="0" applyFont="1" applyAlignment="1">
      <alignment horizontal="left" indent="1"/>
    </xf>
    <xf numFmtId="0" fontId="6" fillId="0" borderId="0" xfId="0" applyFont="1" applyAlignment="1">
      <alignment horizontal="right" indent="1"/>
    </xf>
    <xf numFmtId="0" fontId="9" fillId="0" borderId="18" xfId="2" applyFont="1" applyBorder="1" applyAlignment="1" applyProtection="1">
      <alignment horizontal="left" wrapText="1"/>
    </xf>
    <xf numFmtId="0" fontId="6" fillId="0" borderId="10" xfId="0" applyFont="1" applyBorder="1" applyAlignment="1">
      <alignment horizontal="left" vertical="center" wrapText="1"/>
    </xf>
    <xf numFmtId="0" fontId="9" fillId="0" borderId="22" xfId="2" applyFont="1" applyBorder="1" applyAlignment="1" applyProtection="1">
      <alignment horizontal="left" wrapText="1"/>
    </xf>
    <xf numFmtId="166" fontId="6" fillId="2" borderId="20" xfId="0" applyNumberFormat="1" applyFont="1" applyFill="1" applyBorder="1" applyAlignment="1">
      <alignment vertical="center" wrapText="1"/>
    </xf>
    <xf numFmtId="166" fontId="6" fillId="2" borderId="14" xfId="0" applyNumberFormat="1" applyFont="1" applyFill="1" applyBorder="1" applyAlignment="1">
      <alignment vertical="center" wrapText="1"/>
    </xf>
    <xf numFmtId="0" fontId="6" fillId="2" borderId="18" xfId="0" applyFont="1" applyFill="1" applyBorder="1" applyAlignment="1">
      <alignment vertical="center"/>
    </xf>
    <xf numFmtId="0" fontId="6" fillId="2" borderId="4" xfId="0" applyFont="1" applyFill="1" applyBorder="1" applyAlignment="1">
      <alignment vertical="center"/>
    </xf>
    <xf numFmtId="0" fontId="6" fillId="2" borderId="18" xfId="0" applyFont="1" applyFill="1" applyBorder="1" applyAlignment="1">
      <alignment vertical="center" wrapText="1"/>
    </xf>
    <xf numFmtId="0" fontId="6" fillId="0" borderId="0" xfId="0" quotePrefix="1" applyFont="1" applyAlignment="1"/>
    <xf numFmtId="0" fontId="6" fillId="0" borderId="18" xfId="0" quotePrefix="1" applyFont="1" applyBorder="1" applyAlignment="1">
      <alignment vertical="center"/>
    </xf>
    <xf numFmtId="0" fontId="6" fillId="0" borderId="0" xfId="0" quotePrefix="1" applyFont="1" applyAlignment="1">
      <alignment vertical="center"/>
    </xf>
    <xf numFmtId="0" fontId="6" fillId="2" borderId="26" xfId="0" applyFont="1" applyFill="1" applyBorder="1" applyAlignment="1">
      <alignment vertical="center"/>
    </xf>
    <xf numFmtId="0" fontId="6" fillId="2" borderId="6" xfId="0" applyFont="1" applyFill="1" applyBorder="1" applyAlignment="1">
      <alignment vertical="center"/>
    </xf>
    <xf numFmtId="0" fontId="6" fillId="2" borderId="26" xfId="0" applyFont="1" applyFill="1" applyBorder="1" applyAlignment="1">
      <alignment vertical="center" wrapText="1"/>
    </xf>
    <xf numFmtId="0" fontId="6" fillId="0" borderId="20" xfId="0" applyFont="1" applyBorder="1" applyAlignment="1" applyProtection="1">
      <alignment vertical="top" wrapText="1"/>
      <protection hidden="1"/>
    </xf>
    <xf numFmtId="0" fontId="6" fillId="0" borderId="0" xfId="0" applyFont="1" applyAlignment="1" applyProtection="1">
      <alignment wrapText="1"/>
      <protection locked="0"/>
    </xf>
    <xf numFmtId="0" fontId="6" fillId="0" borderId="20" xfId="0" applyFont="1" applyBorder="1" applyAlignment="1" applyProtection="1">
      <alignment horizontal="left" vertical="center" wrapText="1" indent="2"/>
      <protection hidden="1"/>
    </xf>
    <xf numFmtId="0" fontId="6" fillId="0" borderId="14" xfId="0" applyFont="1" applyBorder="1" applyAlignment="1" applyProtection="1">
      <alignment horizontal="left" vertical="center" wrapText="1" indent="2"/>
      <protection hidden="1"/>
    </xf>
    <xf numFmtId="0" fontId="6" fillId="0" borderId="20" xfId="0" applyFont="1" applyBorder="1" applyAlignment="1" applyProtection="1">
      <alignment horizontal="left" vertical="center" wrapText="1"/>
      <protection hidden="1"/>
    </xf>
    <xf numFmtId="0" fontId="6" fillId="0" borderId="20" xfId="0" applyFont="1" applyBorder="1" applyAlignment="1" applyProtection="1">
      <alignment horizontal="left" vertical="center" wrapText="1" indent="4"/>
      <protection hidden="1"/>
    </xf>
    <xf numFmtId="0" fontId="6" fillId="0" borderId="14" xfId="0" applyFont="1" applyBorder="1" applyAlignment="1" applyProtection="1">
      <alignment horizontal="left" vertical="center" wrapText="1" indent="4"/>
      <protection hidden="1"/>
    </xf>
    <xf numFmtId="0" fontId="6" fillId="0" borderId="14" xfId="0" applyFont="1" applyBorder="1" applyAlignment="1">
      <alignment vertical="top" wrapText="1"/>
    </xf>
    <xf numFmtId="0" fontId="6" fillId="0" borderId="14" xfId="0" quotePrefix="1" applyFont="1" applyBorder="1" applyAlignment="1">
      <alignment horizontal="center" vertical="top" wrapText="1"/>
    </xf>
    <xf numFmtId="0" fontId="6" fillId="0" borderId="14" xfId="0" applyFont="1" applyBorder="1" applyAlignment="1" applyProtection="1">
      <alignment vertical="top" wrapText="1"/>
      <protection hidden="1"/>
    </xf>
    <xf numFmtId="0" fontId="6" fillId="7" borderId="28" xfId="0" applyFont="1" applyFill="1" applyBorder="1" applyAlignment="1" applyProtection="1">
      <alignment vertical="top" wrapText="1"/>
      <protection hidden="1"/>
    </xf>
    <xf numFmtId="0" fontId="6" fillId="0" borderId="20" xfId="0" quotePrefix="1" applyFont="1" applyBorder="1" applyAlignment="1" applyProtection="1">
      <alignment vertical="top" wrapText="1"/>
      <protection hidden="1"/>
    </xf>
    <xf numFmtId="0" fontId="6" fillId="6" borderId="20" xfId="0" quotePrefix="1" applyFont="1" applyFill="1" applyBorder="1" applyAlignment="1" applyProtection="1">
      <alignment vertical="top" wrapText="1"/>
      <protection hidden="1"/>
    </xf>
    <xf numFmtId="0" fontId="6" fillId="6" borderId="14" xfId="0" applyFont="1" applyFill="1" applyBorder="1" applyAlignment="1">
      <alignment vertical="top" wrapText="1"/>
    </xf>
    <xf numFmtId="0" fontId="6" fillId="0" borderId="14" xfId="0" applyFont="1" applyBorder="1" applyAlignment="1">
      <alignment horizontal="left" vertical="center" wrapText="1"/>
    </xf>
    <xf numFmtId="0" fontId="6" fillId="0" borderId="20" xfId="0" applyFont="1" applyBorder="1" applyAlignment="1" applyProtection="1">
      <alignment horizontal="left" vertical="top" wrapText="1" indent="2"/>
      <protection hidden="1"/>
    </xf>
    <xf numFmtId="0" fontId="6" fillId="0" borderId="14" xfId="0" applyFont="1" applyBorder="1" applyAlignment="1" applyProtection="1">
      <alignment horizontal="left" vertical="top" wrapText="1" indent="2"/>
      <protection hidden="1"/>
    </xf>
    <xf numFmtId="0" fontId="6" fillId="0" borderId="20" xfId="0" applyFont="1" applyBorder="1" applyAlignment="1" applyProtection="1">
      <alignment horizontal="left" vertical="top" wrapText="1"/>
      <protection hidden="1"/>
    </xf>
    <xf numFmtId="0" fontId="6" fillId="6" borderId="18" xfId="0" quotePrefix="1" applyFont="1" applyFill="1" applyBorder="1" applyAlignment="1">
      <alignment vertical="center" wrapText="1"/>
    </xf>
    <xf numFmtId="0" fontId="6" fillId="0" borderId="24" xfId="0" applyFont="1" applyBorder="1" applyAlignment="1">
      <alignment horizontal="left" vertical="center" wrapText="1"/>
    </xf>
    <xf numFmtId="0" fontId="6" fillId="12" borderId="31" xfId="0" applyFont="1" applyFill="1" applyBorder="1" applyAlignment="1">
      <alignment horizontal="center"/>
    </xf>
    <xf numFmtId="0" fontId="6" fillId="12" borderId="18" xfId="0" applyFont="1" applyFill="1" applyBorder="1" applyAlignment="1">
      <alignment horizontal="center" wrapText="1"/>
    </xf>
    <xf numFmtId="0" fontId="6" fillId="0" borderId="10" xfId="0" applyFont="1" applyBorder="1" applyAlignment="1">
      <alignment horizontal="center"/>
    </xf>
    <xf numFmtId="0" fontId="6" fillId="0" borderId="21" xfId="0" applyFont="1" applyBorder="1" applyAlignment="1">
      <alignment horizontal="center" wrapText="1"/>
    </xf>
    <xf numFmtId="0" fontId="6" fillId="0" borderId="22" xfId="0" applyFont="1" applyBorder="1" applyAlignment="1">
      <alignment horizontal="center"/>
    </xf>
    <xf numFmtId="0" fontId="6" fillId="0" borderId="22" xfId="0" applyFont="1" applyBorder="1" applyAlignment="1">
      <alignment horizontal="center" wrapText="1"/>
    </xf>
    <xf numFmtId="0" fontId="6" fillId="0" borderId="0" xfId="0" applyFont="1" applyAlignment="1">
      <alignment horizontal="center" wrapText="1"/>
    </xf>
    <xf numFmtId="49" fontId="6" fillId="0" borderId="50" xfId="1" applyNumberFormat="1" applyFont="1" applyBorder="1" applyAlignment="1">
      <alignment horizontal="left" vertical="center" wrapText="1"/>
    </xf>
    <xf numFmtId="49" fontId="6" fillId="0" borderId="0" xfId="1" applyNumberFormat="1" applyFont="1" applyBorder="1" applyAlignment="1">
      <alignment horizontal="left" vertical="center" wrapText="1"/>
    </xf>
    <xf numFmtId="0" fontId="6" fillId="0" borderId="0" xfId="0" applyFont="1" applyAlignment="1">
      <alignment horizontal="left" vertical="center"/>
    </xf>
    <xf numFmtId="0" fontId="6" fillId="0" borderId="16" xfId="0" applyFont="1" applyBorder="1" applyAlignment="1">
      <alignment horizontal="left" vertical="center" wrapText="1"/>
    </xf>
    <xf numFmtId="0" fontId="6" fillId="8" borderId="0" xfId="0" applyFont="1" applyFill="1" applyAlignment="1">
      <alignment horizontal="left" vertical="center" wrapText="1"/>
    </xf>
    <xf numFmtId="0" fontId="47" fillId="0" borderId="0" xfId="4" applyFont="1" applyAlignment="1">
      <alignment horizontal="left" vertical="center"/>
    </xf>
    <xf numFmtId="0" fontId="5" fillId="0" borderId="0" xfId="4" applyAlignment="1">
      <alignment horizontal="center" vertical="center" wrapText="1"/>
    </xf>
    <xf numFmtId="0" fontId="48" fillId="0" borderId="0" xfId="4" applyFont="1" applyAlignment="1">
      <alignment horizontal="center" vertical="center"/>
    </xf>
    <xf numFmtId="0" fontId="5" fillId="0" borderId="0" xfId="4"/>
    <xf numFmtId="0" fontId="5" fillId="0" borderId="54" xfId="4" applyBorder="1" applyAlignment="1">
      <alignment horizontal="center" vertical="center" wrapText="1"/>
    </xf>
    <xf numFmtId="0" fontId="49" fillId="0" borderId="0" xfId="4" applyFont="1" applyAlignment="1">
      <alignment vertical="center" wrapText="1"/>
    </xf>
    <xf numFmtId="0" fontId="50" fillId="14" borderId="48" xfId="4" applyFont="1" applyFill="1" applyBorder="1" applyAlignment="1">
      <alignment horizontal="center" vertical="center" wrapText="1"/>
    </xf>
    <xf numFmtId="0" fontId="51" fillId="14" borderId="55" xfId="4" applyFont="1" applyFill="1" applyBorder="1" applyAlignment="1">
      <alignment horizontal="center" vertical="center" wrapText="1"/>
    </xf>
    <xf numFmtId="0" fontId="51" fillId="0" borderId="0" xfId="4" applyFont="1" applyAlignment="1">
      <alignment horizontal="center" vertical="center" wrapText="1"/>
    </xf>
    <xf numFmtId="0" fontId="49" fillId="0" borderId="0" xfId="4" applyFont="1" applyAlignment="1">
      <alignment horizontal="center" vertical="center" wrapText="1"/>
    </xf>
    <xf numFmtId="0" fontId="49" fillId="15" borderId="56" xfId="4" applyFont="1" applyFill="1" applyBorder="1" applyAlignment="1">
      <alignment horizontal="center" vertical="center" wrapText="1"/>
    </xf>
    <xf numFmtId="0" fontId="52" fillId="0" borderId="0" xfId="4" applyFont="1" applyAlignment="1">
      <alignment horizontal="center" vertical="center" wrapText="1"/>
    </xf>
    <xf numFmtId="0" fontId="53" fillId="0" borderId="57" xfId="5" quotePrefix="1" applyFill="1" applyBorder="1" applyAlignment="1">
      <alignment horizontal="center" vertical="center" wrapText="1"/>
    </xf>
    <xf numFmtId="0" fontId="53" fillId="0" borderId="57" xfId="5" applyFill="1" applyBorder="1" applyAlignment="1">
      <alignment horizontal="center" vertical="center" wrapText="1"/>
    </xf>
    <xf numFmtId="0" fontId="53" fillId="0" borderId="58" xfId="5" quotePrefix="1" applyFill="1" applyBorder="1" applyAlignment="1">
      <alignment horizontal="center" vertical="center" wrapText="1"/>
    </xf>
    <xf numFmtId="0" fontId="53" fillId="0" borderId="0" xfId="5" quotePrefix="1" applyFill="1" applyBorder="1" applyAlignment="1">
      <alignment horizontal="center" vertical="center" wrapText="1"/>
    </xf>
    <xf numFmtId="0" fontId="49" fillId="15" borderId="0" xfId="4" applyFont="1" applyFill="1" applyAlignment="1">
      <alignment horizontal="center" vertical="center" wrapText="1"/>
    </xf>
    <xf numFmtId="0" fontId="52" fillId="15" borderId="0" xfId="4" applyFont="1" applyFill="1" applyAlignment="1">
      <alignment horizontal="center" vertical="center" wrapText="1"/>
    </xf>
    <xf numFmtId="0" fontId="5" fillId="15" borderId="0" xfId="4" applyFill="1" applyAlignment="1">
      <alignment horizontal="center" vertical="center" wrapText="1"/>
    </xf>
    <xf numFmtId="0" fontId="46" fillId="0" borderId="0" xfId="4" applyFont="1" applyAlignment="1">
      <alignment horizontal="center" vertical="center" wrapText="1"/>
    </xf>
    <xf numFmtId="0" fontId="54" fillId="0" borderId="0" xfId="4" applyFont="1" applyAlignment="1">
      <alignment horizontal="center" vertical="center" wrapText="1"/>
    </xf>
    <xf numFmtId="0" fontId="53" fillId="0" borderId="0" xfId="5" applyAlignment="1" applyProtection="1">
      <alignment horizontal="center" vertical="center" wrapText="1"/>
    </xf>
    <xf numFmtId="0" fontId="55" fillId="0" borderId="0" xfId="4" applyFont="1" applyAlignment="1">
      <alignment horizontal="center" vertical="center" wrapText="1"/>
    </xf>
    <xf numFmtId="0" fontId="56" fillId="0" borderId="0" xfId="4" applyFont="1" applyAlignment="1">
      <alignment horizontal="center" vertical="center" wrapText="1"/>
    </xf>
    <xf numFmtId="0" fontId="5" fillId="0" borderId="0" xfId="4" quotePrefix="1" applyAlignment="1">
      <alignment horizontal="center" vertical="center" wrapText="1"/>
    </xf>
    <xf numFmtId="0" fontId="51" fillId="0" borderId="0" xfId="4" quotePrefix="1" applyFont="1" applyAlignment="1">
      <alignment horizontal="center" vertical="center" wrapText="1"/>
    </xf>
    <xf numFmtId="0" fontId="53" fillId="0" borderId="0" xfId="5" applyFill="1" applyBorder="1" applyAlignment="1">
      <alignment horizontal="center" vertical="center" wrapText="1"/>
    </xf>
    <xf numFmtId="0" fontId="57" fillId="0" borderId="0" xfId="5" quotePrefix="1" applyFont="1" applyFill="1" applyBorder="1" applyAlignment="1">
      <alignment horizontal="center" vertical="center" wrapText="1"/>
    </xf>
    <xf numFmtId="0" fontId="58" fillId="0" borderId="0" xfId="4" quotePrefix="1" applyFont="1" applyAlignment="1">
      <alignment horizontal="center" vertical="center" wrapText="1"/>
    </xf>
    <xf numFmtId="0" fontId="58" fillId="14" borderId="0" xfId="4" applyFont="1" applyFill="1" applyAlignment="1">
      <alignment horizontal="center" vertical="center" wrapText="1"/>
    </xf>
    <xf numFmtId="0" fontId="59" fillId="14" borderId="0" xfId="4" quotePrefix="1" applyFont="1" applyFill="1" applyAlignment="1">
      <alignment horizontal="center" vertical="center" wrapText="1"/>
    </xf>
    <xf numFmtId="0" fontId="52" fillId="14" borderId="0" xfId="4" applyFont="1" applyFill="1" applyAlignment="1">
      <alignment horizontal="center" vertical="center" wrapText="1"/>
    </xf>
    <xf numFmtId="0" fontId="46" fillId="14" borderId="0" xfId="4" applyFont="1" applyFill="1" applyAlignment="1">
      <alignment horizontal="center" vertical="center" wrapText="1"/>
    </xf>
    <xf numFmtId="167" fontId="5" fillId="0" borderId="0" xfId="4" applyNumberFormat="1" applyAlignment="1">
      <alignment horizontal="center" vertical="center" wrapText="1"/>
    </xf>
    <xf numFmtId="0" fontId="55" fillId="0" borderId="0" xfId="4" quotePrefix="1" applyFont="1" applyAlignment="1">
      <alignment horizontal="center" vertical="center" wrapText="1"/>
    </xf>
    <xf numFmtId="168" fontId="5" fillId="0" borderId="0" xfId="4" applyNumberFormat="1" applyAlignment="1">
      <alignment horizontal="center" vertical="center" wrapText="1"/>
    </xf>
    <xf numFmtId="2" fontId="5" fillId="0" borderId="0" xfId="4" applyNumberFormat="1" applyAlignment="1">
      <alignment horizontal="center" vertical="center" wrapText="1"/>
    </xf>
    <xf numFmtId="0" fontId="58" fillId="14" borderId="0" xfId="4" quotePrefix="1" applyFont="1" applyFill="1" applyAlignment="1">
      <alignment horizontal="center" vertical="center" wrapText="1"/>
    </xf>
    <xf numFmtId="169" fontId="0" fillId="0" borderId="0" xfId="6" applyNumberFormat="1" applyFont="1" applyFill="1" applyBorder="1" applyAlignment="1">
      <alignment horizontal="center" vertical="center" wrapText="1"/>
    </xf>
    <xf numFmtId="9" fontId="0" fillId="0" borderId="0" xfId="6" applyFont="1" applyFill="1" applyBorder="1" applyAlignment="1">
      <alignment horizontal="center" vertical="center" wrapText="1"/>
    </xf>
    <xf numFmtId="10" fontId="51" fillId="0" borderId="0" xfId="6" applyNumberFormat="1" applyFont="1" applyFill="1" applyBorder="1" applyAlignment="1" applyProtection="1">
      <alignment horizontal="center" vertical="center" wrapText="1"/>
    </xf>
    <xf numFmtId="10" fontId="5" fillId="0" borderId="0" xfId="4" applyNumberFormat="1"/>
    <xf numFmtId="3" fontId="5" fillId="0" borderId="0" xfId="4" quotePrefix="1" applyNumberFormat="1" applyAlignment="1">
      <alignment horizontal="center" vertical="center" wrapText="1"/>
    </xf>
    <xf numFmtId="169" fontId="5" fillId="0" borderId="0" xfId="4" quotePrefix="1" applyNumberFormat="1" applyAlignment="1">
      <alignment horizontal="center" vertical="center" wrapText="1"/>
    </xf>
    <xf numFmtId="10" fontId="5" fillId="0" borderId="0" xfId="4" quotePrefix="1" applyNumberFormat="1" applyAlignment="1">
      <alignment horizontal="center" vertical="center" wrapText="1"/>
    </xf>
    <xf numFmtId="0" fontId="5" fillId="0" borderId="0" xfId="4" quotePrefix="1" applyAlignment="1">
      <alignment horizontal="right" vertical="center" wrapText="1"/>
    </xf>
    <xf numFmtId="169" fontId="0" fillId="0" borderId="0" xfId="6" quotePrefix="1" applyNumberFormat="1" applyFont="1" applyFill="1" applyBorder="1" applyAlignment="1">
      <alignment horizontal="center" vertical="center" wrapText="1"/>
    </xf>
    <xf numFmtId="0" fontId="55" fillId="0" borderId="0" xfId="4" applyFont="1" applyAlignment="1">
      <alignment horizontal="right" vertical="center" wrapText="1"/>
    </xf>
    <xf numFmtId="168" fontId="45" fillId="0" borderId="0" xfId="4" applyNumberFormat="1" applyFont="1" applyAlignment="1">
      <alignment horizontal="center" vertical="center" wrapText="1"/>
    </xf>
    <xf numFmtId="0" fontId="45" fillId="0" borderId="0" xfId="4" applyFont="1" applyAlignment="1">
      <alignment horizontal="center" vertical="center" wrapText="1"/>
    </xf>
    <xf numFmtId="9" fontId="0" fillId="0" borderId="0" xfId="6" quotePrefix="1" applyFont="1" applyFill="1" applyBorder="1" applyAlignment="1">
      <alignment horizontal="center" vertical="center" wrapText="1"/>
    </xf>
    <xf numFmtId="0" fontId="60" fillId="14" borderId="0" xfId="4" quotePrefix="1" applyFont="1" applyFill="1" applyAlignment="1">
      <alignment horizontal="center" vertical="center" wrapText="1"/>
    </xf>
    <xf numFmtId="0" fontId="46" fillId="14" borderId="0" xfId="4" quotePrefix="1" applyFont="1" applyFill="1" applyAlignment="1">
      <alignment horizontal="center" vertical="center" wrapText="1"/>
    </xf>
    <xf numFmtId="0" fontId="54" fillId="14" borderId="0" xfId="4" applyFont="1" applyFill="1" applyAlignment="1">
      <alignment horizontal="center" vertical="center" wrapText="1"/>
    </xf>
    <xf numFmtId="0" fontId="61" fillId="14" borderId="0" xfId="4" applyFont="1" applyFill="1" applyAlignment="1">
      <alignment horizontal="center" vertical="center" wrapText="1"/>
    </xf>
    <xf numFmtId="170" fontId="5" fillId="0" borderId="0" xfId="4" applyNumberFormat="1" applyAlignment="1">
      <alignment horizontal="center" vertical="center" wrapText="1"/>
    </xf>
    <xf numFmtId="0" fontId="46" fillId="0" borderId="0" xfId="4" quotePrefix="1" applyFont="1" applyAlignment="1">
      <alignment horizontal="center" vertical="center" wrapText="1"/>
    </xf>
    <xf numFmtId="168" fontId="5" fillId="0" borderId="0" xfId="4" quotePrefix="1" applyNumberFormat="1" applyAlignment="1">
      <alignment horizontal="center" vertical="center" wrapText="1"/>
    </xf>
    <xf numFmtId="0" fontId="55" fillId="0" borderId="0" xfId="4" quotePrefix="1" applyFont="1" applyAlignment="1">
      <alignment horizontal="right" vertical="center" wrapText="1"/>
    </xf>
    <xf numFmtId="169" fontId="46" fillId="0" borderId="0" xfId="4" applyNumberFormat="1" applyFont="1" applyAlignment="1">
      <alignment horizontal="center" vertical="center" wrapText="1"/>
    </xf>
    <xf numFmtId="169" fontId="46" fillId="0" borderId="0" xfId="4" quotePrefix="1" applyNumberFormat="1" applyFont="1" applyAlignment="1">
      <alignment horizontal="center" vertical="center" wrapText="1"/>
    </xf>
    <xf numFmtId="170" fontId="46" fillId="0" borderId="0" xfId="4" applyNumberFormat="1" applyFont="1" applyAlignment="1">
      <alignment horizontal="center" vertical="center" wrapText="1"/>
    </xf>
    <xf numFmtId="0" fontId="60" fillId="14" borderId="0" xfId="4" applyFont="1" applyFill="1" applyAlignment="1">
      <alignment horizontal="center" vertical="center" wrapText="1"/>
    </xf>
    <xf numFmtId="0" fontId="5" fillId="0" borderId="0" xfId="4" applyAlignment="1">
      <alignment horizontal="right" vertical="center" wrapText="1"/>
    </xf>
    <xf numFmtId="168" fontId="55" fillId="0" borderId="0" xfId="4" quotePrefix="1" applyNumberFormat="1" applyFont="1" applyAlignment="1">
      <alignment horizontal="right" vertical="center" wrapText="1"/>
    </xf>
    <xf numFmtId="0" fontId="5" fillId="0" borderId="0" xfId="4" applyAlignment="1">
      <alignment horizontal="center"/>
    </xf>
    <xf numFmtId="0" fontId="62" fillId="0" borderId="0" xfId="4" applyFont="1" applyAlignment="1">
      <alignment horizontal="left" vertical="center"/>
    </xf>
    <xf numFmtId="0" fontId="62" fillId="0" borderId="0" xfId="4" applyFont="1" applyAlignment="1">
      <alignment horizontal="center" vertical="center" wrapText="1"/>
    </xf>
    <xf numFmtId="0" fontId="63" fillId="0" borderId="0" xfId="4" applyFont="1" applyAlignment="1">
      <alignment horizontal="center" vertical="center" wrapText="1"/>
    </xf>
    <xf numFmtId="9" fontId="51" fillId="0" borderId="0" xfId="6" applyFont="1" applyFill="1" applyBorder="1" applyAlignment="1">
      <alignment horizontal="center" vertical="center" wrapText="1"/>
    </xf>
    <xf numFmtId="0" fontId="64" fillId="0" borderId="0" xfId="4" applyFont="1" applyAlignment="1">
      <alignment horizontal="center" vertical="center" wrapText="1"/>
    </xf>
    <xf numFmtId="0" fontId="53" fillId="0" borderId="0" xfId="5" applyAlignment="1">
      <alignment horizontal="center"/>
    </xf>
    <xf numFmtId="0" fontId="56" fillId="0" borderId="0" xfId="4" quotePrefix="1" applyFont="1" applyAlignment="1">
      <alignment horizontal="center" vertical="center" wrapText="1"/>
    </xf>
    <xf numFmtId="0" fontId="56" fillId="0" borderId="0" xfId="4" applyFont="1" applyAlignment="1">
      <alignment horizontal="right" vertical="center" wrapText="1"/>
    </xf>
    <xf numFmtId="0" fontId="65" fillId="0" borderId="0" xfId="4" applyFont="1" applyAlignment="1">
      <alignment horizontal="center" vertical="center" wrapText="1"/>
    </xf>
    <xf numFmtId="0" fontId="51" fillId="11" borderId="0" xfId="4" applyFont="1" applyFill="1" applyAlignment="1">
      <alignment horizontal="center" vertical="center" wrapText="1"/>
    </xf>
    <xf numFmtId="169" fontId="60" fillId="14" borderId="0" xfId="6" applyNumberFormat="1" applyFont="1" applyFill="1" applyBorder="1" applyAlignment="1">
      <alignment horizontal="center" vertical="center" wrapText="1"/>
    </xf>
    <xf numFmtId="169" fontId="46" fillId="14" borderId="0" xfId="6" applyNumberFormat="1" applyFont="1" applyFill="1" applyBorder="1" applyAlignment="1">
      <alignment horizontal="center" vertical="center" wrapText="1"/>
    </xf>
    <xf numFmtId="0" fontId="4" fillId="0" borderId="0" xfId="4" quotePrefix="1" applyFont="1" applyAlignment="1">
      <alignment horizontal="right" vertical="center" wrapText="1"/>
    </xf>
    <xf numFmtId="0" fontId="3" fillId="0" borderId="0" xfId="4" quotePrefix="1" applyFont="1" applyAlignment="1">
      <alignment horizontal="center" vertical="center" wrapText="1"/>
    </xf>
    <xf numFmtId="0" fontId="66" fillId="0" borderId="0" xfId="2" applyFont="1" applyAlignment="1" applyProtection="1">
      <alignment horizontal="center" vertical="center" wrapText="1"/>
    </xf>
    <xf numFmtId="9" fontId="5" fillId="0" borderId="0" xfId="7" applyFont="1" applyAlignment="1">
      <alignment horizontal="center" vertical="center" wrapText="1"/>
    </xf>
    <xf numFmtId="167" fontId="5" fillId="0" borderId="0" xfId="4" applyNumberFormat="1" applyFill="1" applyAlignment="1">
      <alignment horizontal="center" vertical="center" wrapText="1"/>
    </xf>
    <xf numFmtId="169" fontId="5" fillId="0" borderId="0" xfId="4" quotePrefix="1" applyNumberFormat="1" applyFill="1" applyAlignment="1">
      <alignment horizontal="center" vertical="center" wrapText="1"/>
    </xf>
    <xf numFmtId="168" fontId="5" fillId="0" borderId="0" xfId="4" applyNumberFormat="1" applyFill="1" applyAlignment="1">
      <alignment horizontal="center" vertical="center" wrapText="1"/>
    </xf>
    <xf numFmtId="170" fontId="5" fillId="0" borderId="0" xfId="4" applyNumberFormat="1" applyFill="1" applyAlignment="1">
      <alignment horizontal="center" vertical="center" wrapText="1"/>
    </xf>
    <xf numFmtId="170" fontId="46" fillId="0" borderId="0" xfId="4" applyNumberFormat="1" applyFont="1" applyFill="1" applyAlignment="1">
      <alignment horizontal="center" vertical="center" wrapText="1"/>
    </xf>
    <xf numFmtId="164" fontId="5" fillId="0" borderId="0" xfId="4" applyNumberFormat="1" applyAlignment="1">
      <alignment horizontal="center" vertical="center" wrapText="1"/>
    </xf>
    <xf numFmtId="0" fontId="5" fillId="0" borderId="0" xfId="4" applyFill="1" applyAlignment="1">
      <alignment horizontal="center" vertical="center" wrapText="1"/>
    </xf>
    <xf numFmtId="169" fontId="5" fillId="0" borderId="0" xfId="4" applyNumberFormat="1" applyFill="1" applyAlignment="1">
      <alignment horizontal="center" vertical="center" wrapText="1"/>
    </xf>
    <xf numFmtId="0" fontId="46" fillId="0" borderId="0" xfId="4" applyFont="1" applyFill="1" applyAlignment="1">
      <alignment horizontal="center" vertical="center" wrapText="1"/>
    </xf>
    <xf numFmtId="168" fontId="5" fillId="0" borderId="0" xfId="4" quotePrefix="1" applyNumberFormat="1" applyFill="1" applyAlignment="1">
      <alignment horizontal="center" vertical="center" wrapText="1"/>
    </xf>
    <xf numFmtId="14" fontId="2" fillId="0" borderId="0" xfId="4" applyNumberFormat="1" applyFont="1" applyFill="1" applyAlignment="1">
      <alignment horizontal="center" vertical="center" wrapText="1"/>
    </xf>
    <xf numFmtId="3" fontId="5" fillId="0" borderId="0" xfId="4" quotePrefix="1" applyNumberFormat="1" applyFill="1" applyAlignment="1">
      <alignment horizontal="center" vertical="center" wrapText="1"/>
    </xf>
    <xf numFmtId="0" fontId="5" fillId="0" borderId="0" xfId="4" quotePrefix="1" applyFill="1" applyAlignment="1">
      <alignment horizontal="center" vertical="center" wrapText="1"/>
    </xf>
    <xf numFmtId="0" fontId="5" fillId="0" borderId="0" xfId="4" applyFill="1"/>
    <xf numFmtId="0" fontId="55" fillId="0" borderId="0" xfId="4" applyFont="1" applyFill="1" applyAlignment="1">
      <alignment horizontal="right" vertical="center" wrapText="1"/>
    </xf>
    <xf numFmtId="3" fontId="5" fillId="0" borderId="0" xfId="4" applyNumberFormat="1" applyFill="1" applyAlignment="1">
      <alignment horizontal="center" vertical="center" wrapText="1"/>
    </xf>
    <xf numFmtId="3" fontId="46" fillId="0" borderId="0" xfId="4" applyNumberFormat="1" applyFont="1" applyFill="1" applyAlignment="1">
      <alignment horizontal="center" vertical="center" wrapText="1"/>
    </xf>
    <xf numFmtId="0" fontId="60" fillId="0" borderId="0" xfId="4" quotePrefix="1" applyFont="1" applyFill="1" applyAlignment="1">
      <alignment horizontal="center" vertical="center" wrapText="1"/>
    </xf>
    <xf numFmtId="2" fontId="5" fillId="0" borderId="0" xfId="4" applyNumberFormat="1" applyFill="1" applyAlignment="1">
      <alignment horizontal="center" vertical="center" wrapText="1"/>
    </xf>
    <xf numFmtId="0" fontId="5" fillId="0" borderId="0" xfId="4" quotePrefix="1" applyFill="1" applyAlignment="1">
      <alignment horizontal="right" vertical="center" wrapText="1"/>
    </xf>
    <xf numFmtId="1" fontId="5" fillId="0" borderId="0" xfId="4" applyNumberFormat="1" applyFill="1" applyAlignment="1">
      <alignment horizontal="center" vertical="center" wrapText="1"/>
    </xf>
    <xf numFmtId="9" fontId="5" fillId="0" borderId="0" xfId="7" applyFont="1" applyFill="1" applyAlignment="1">
      <alignment horizontal="center" vertical="center" wrapText="1"/>
    </xf>
    <xf numFmtId="10" fontId="5" fillId="0" borderId="0" xfId="4" quotePrefix="1" applyNumberFormat="1" applyFill="1" applyAlignment="1">
      <alignment horizontal="center" vertical="center" wrapText="1"/>
    </xf>
    <xf numFmtId="10" fontId="0" fillId="0" borderId="0" xfId="6" applyNumberFormat="1" applyFont="1" applyFill="1" applyBorder="1" applyAlignment="1">
      <alignment horizontal="center" vertical="center" wrapText="1"/>
    </xf>
    <xf numFmtId="0" fontId="51" fillId="0" borderId="0" xfId="0" applyFont="1" applyAlignment="1"/>
    <xf numFmtId="0" fontId="51" fillId="0" borderId="0" xfId="0" applyFont="1" applyAlignment="1">
      <alignment horizontal="left"/>
    </xf>
    <xf numFmtId="0" fontId="1" fillId="0" borderId="0" xfId="4" applyFont="1" applyAlignment="1">
      <alignment horizontal="center" vertical="center" wrapText="1"/>
    </xf>
    <xf numFmtId="0" fontId="37" fillId="13" borderId="0" xfId="0" applyFont="1" applyFill="1" applyAlignment="1">
      <alignment horizontal="center" vertical="center" wrapText="1"/>
    </xf>
    <xf numFmtId="0" fontId="6" fillId="10" borderId="21" xfId="0" applyFont="1" applyFill="1" applyBorder="1" applyAlignment="1">
      <alignment horizontal="center" vertical="center" wrapText="1"/>
    </xf>
    <xf numFmtId="0" fontId="6" fillId="10" borderId="50" xfId="0" applyFont="1" applyFill="1" applyBorder="1" applyAlignment="1">
      <alignment horizontal="center" vertical="center" wrapText="1"/>
    </xf>
    <xf numFmtId="0" fontId="6" fillId="0" borderId="0" xfId="0" applyFont="1" applyAlignment="1">
      <alignment horizontal="left" vertical="center" wrapText="1"/>
    </xf>
    <xf numFmtId="0" fontId="6" fillId="10" borderId="51" xfId="0" applyFont="1" applyFill="1" applyBorder="1" applyAlignment="1">
      <alignment horizontal="center" vertical="center" wrapText="1"/>
    </xf>
    <xf numFmtId="0" fontId="6" fillId="10" borderId="52" xfId="0" applyFont="1" applyFill="1" applyBorder="1" applyAlignment="1">
      <alignment horizontal="center" vertical="center" wrapText="1"/>
    </xf>
    <xf numFmtId="0" fontId="6" fillId="10" borderId="53" xfId="0" applyFont="1" applyFill="1" applyBorder="1" applyAlignment="1">
      <alignment horizontal="center" vertical="center" wrapText="1"/>
    </xf>
  </cellXfs>
  <cellStyles count="8">
    <cellStyle name="Komma" xfId="1" builtinId="3"/>
    <cellStyle name="Link" xfId="2" builtinId="8"/>
    <cellStyle name="Link 2" xfId="5" xr:uid="{3AA97B71-C9C3-4773-B36E-7D9029D3D40E}"/>
    <cellStyle name="Normal 2" xfId="3" xr:uid="{00000000-0005-0000-0000-000004000000}"/>
    <cellStyle name="Prozent" xfId="7" builtinId="5"/>
    <cellStyle name="Prozent 2" xfId="6" xr:uid="{6611811A-D8DF-472B-9D85-B2ACE8935CC7}"/>
    <cellStyle name="Standard" xfId="0" builtinId="0"/>
    <cellStyle name="Standard 2" xfId="4" xr:uid="{F17904C6-1745-4062-B152-68D802CCAB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18" Type="http://schemas.openxmlformats.org/officeDocument/2006/relationships/customXml" Target="../customXml/item5.xml"/><Relationship Id="rId26" Type="http://schemas.openxmlformats.org/officeDocument/2006/relationships/customXml" Target="../customXml/item13.xml"/><Relationship Id="rId39" Type="http://schemas.openxmlformats.org/officeDocument/2006/relationships/customXml" Target="../customXml/item26.xml"/><Relationship Id="rId3" Type="http://schemas.openxmlformats.org/officeDocument/2006/relationships/worksheet" Target="worksheets/sheet3.xml"/><Relationship Id="rId21" Type="http://schemas.openxmlformats.org/officeDocument/2006/relationships/customXml" Target="../customXml/item8.xml"/><Relationship Id="rId34" Type="http://schemas.openxmlformats.org/officeDocument/2006/relationships/customXml" Target="../customXml/item21.xml"/><Relationship Id="rId7" Type="http://schemas.openxmlformats.org/officeDocument/2006/relationships/externalLink" Target="externalLinks/externalLink1.xml"/><Relationship Id="rId12" Type="http://schemas.openxmlformats.org/officeDocument/2006/relationships/sheetMetadata" Target="metadata.xml"/><Relationship Id="rId17" Type="http://schemas.openxmlformats.org/officeDocument/2006/relationships/customXml" Target="../customXml/item4.xml"/><Relationship Id="rId25" Type="http://schemas.openxmlformats.org/officeDocument/2006/relationships/customXml" Target="../customXml/item12.xml"/><Relationship Id="rId33" Type="http://schemas.openxmlformats.org/officeDocument/2006/relationships/customXml" Target="../customXml/item20.xml"/><Relationship Id="rId38" Type="http://schemas.openxmlformats.org/officeDocument/2006/relationships/customXml" Target="../customXml/item25.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29" Type="http://schemas.openxmlformats.org/officeDocument/2006/relationships/customXml" Target="../customXml/item16.xml"/><Relationship Id="rId41" Type="http://schemas.openxmlformats.org/officeDocument/2006/relationships/customXml" Target="../customXml/item2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24" Type="http://schemas.openxmlformats.org/officeDocument/2006/relationships/customXml" Target="../customXml/item11.xml"/><Relationship Id="rId32" Type="http://schemas.openxmlformats.org/officeDocument/2006/relationships/customXml" Target="../customXml/item19.xml"/><Relationship Id="rId37" Type="http://schemas.openxmlformats.org/officeDocument/2006/relationships/customXml" Target="../customXml/item24.xml"/><Relationship Id="rId40" Type="http://schemas.openxmlformats.org/officeDocument/2006/relationships/customXml" Target="../customXml/item27.xml"/><Relationship Id="rId5" Type="http://schemas.openxmlformats.org/officeDocument/2006/relationships/worksheet" Target="worksheets/sheet5.xml"/><Relationship Id="rId15" Type="http://schemas.openxmlformats.org/officeDocument/2006/relationships/customXml" Target="../customXml/item2.xml"/><Relationship Id="rId23" Type="http://schemas.openxmlformats.org/officeDocument/2006/relationships/customXml" Target="../customXml/item10.xml"/><Relationship Id="rId28" Type="http://schemas.openxmlformats.org/officeDocument/2006/relationships/customXml" Target="../customXml/item15.xml"/><Relationship Id="rId36" Type="http://schemas.openxmlformats.org/officeDocument/2006/relationships/customXml" Target="../customXml/item23.xml"/><Relationship Id="rId10" Type="http://schemas.openxmlformats.org/officeDocument/2006/relationships/styles" Target="styles.xml"/><Relationship Id="rId19" Type="http://schemas.openxmlformats.org/officeDocument/2006/relationships/customXml" Target="../customXml/item6.xml"/><Relationship Id="rId31"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 Id="rId22" Type="http://schemas.openxmlformats.org/officeDocument/2006/relationships/customXml" Target="../customXml/item9.xml"/><Relationship Id="rId27" Type="http://schemas.openxmlformats.org/officeDocument/2006/relationships/customXml" Target="../customXml/item14.xml"/><Relationship Id="rId30" Type="http://schemas.openxmlformats.org/officeDocument/2006/relationships/customXml" Target="../customXml/item17.xml"/><Relationship Id="rId35" Type="http://schemas.openxmlformats.org/officeDocument/2006/relationships/customXml" Target="../customXml/item2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533400</xdr:colOff>
      <xdr:row>423</xdr:row>
      <xdr:rowOff>0</xdr:rowOff>
    </xdr:from>
    <xdr:to>
      <xdr:col>6</xdr:col>
      <xdr:colOff>666750</xdr:colOff>
      <xdr:row>423</xdr:row>
      <xdr:rowOff>0</xdr:rowOff>
    </xdr:to>
    <xdr:pic>
      <xdr:nvPicPr>
        <xdr:cNvPr id="288481" name="CommandButton1">
          <a:extLst>
            <a:ext uri="{FF2B5EF4-FFF2-40B4-BE49-F238E27FC236}">
              <a16:creationId xmlns:a16="http://schemas.microsoft.com/office/drawing/2014/main" id="{00000000-0008-0000-0500-0000E1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2" name="CommandButton1">
          <a:extLst>
            <a:ext uri="{FF2B5EF4-FFF2-40B4-BE49-F238E27FC236}">
              <a16:creationId xmlns:a16="http://schemas.microsoft.com/office/drawing/2014/main" id="{00000000-0008-0000-0500-0000E2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3" name="CommandButton1">
          <a:extLst>
            <a:ext uri="{FF2B5EF4-FFF2-40B4-BE49-F238E27FC236}">
              <a16:creationId xmlns:a16="http://schemas.microsoft.com/office/drawing/2014/main" id="{00000000-0008-0000-0500-0000E3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4" name="CommandButton1">
          <a:extLst>
            <a:ext uri="{FF2B5EF4-FFF2-40B4-BE49-F238E27FC236}">
              <a16:creationId xmlns:a16="http://schemas.microsoft.com/office/drawing/2014/main" id="{00000000-0008-0000-0500-0000E4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5" name="CommandButton1">
          <a:extLst>
            <a:ext uri="{FF2B5EF4-FFF2-40B4-BE49-F238E27FC236}">
              <a16:creationId xmlns:a16="http://schemas.microsoft.com/office/drawing/2014/main" id="{00000000-0008-0000-0500-0000E5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6" name="CommandButton1">
          <a:extLst>
            <a:ext uri="{FF2B5EF4-FFF2-40B4-BE49-F238E27FC236}">
              <a16:creationId xmlns:a16="http://schemas.microsoft.com/office/drawing/2014/main" id="{00000000-0008-0000-0500-0000E6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7" name="CommandButton1">
          <a:extLst>
            <a:ext uri="{FF2B5EF4-FFF2-40B4-BE49-F238E27FC236}">
              <a16:creationId xmlns:a16="http://schemas.microsoft.com/office/drawing/2014/main" id="{00000000-0008-0000-0500-0000E7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8" name="CommandButton1">
          <a:extLst>
            <a:ext uri="{FF2B5EF4-FFF2-40B4-BE49-F238E27FC236}">
              <a16:creationId xmlns:a16="http://schemas.microsoft.com/office/drawing/2014/main" id="{00000000-0008-0000-0500-0000E8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9" name="CommandButton1">
          <a:extLst>
            <a:ext uri="{FF2B5EF4-FFF2-40B4-BE49-F238E27FC236}">
              <a16:creationId xmlns:a16="http://schemas.microsoft.com/office/drawing/2014/main" id="{00000000-0008-0000-0500-0000E9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0" name="CommandButton1">
          <a:extLst>
            <a:ext uri="{FF2B5EF4-FFF2-40B4-BE49-F238E27FC236}">
              <a16:creationId xmlns:a16="http://schemas.microsoft.com/office/drawing/2014/main" id="{00000000-0008-0000-0500-0000EA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1" name="CommandButton1">
          <a:extLst>
            <a:ext uri="{FF2B5EF4-FFF2-40B4-BE49-F238E27FC236}">
              <a16:creationId xmlns:a16="http://schemas.microsoft.com/office/drawing/2014/main" id="{00000000-0008-0000-0500-0000EB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2" name="CommandButton1">
          <a:extLst>
            <a:ext uri="{FF2B5EF4-FFF2-40B4-BE49-F238E27FC236}">
              <a16:creationId xmlns:a16="http://schemas.microsoft.com/office/drawing/2014/main" id="{00000000-0008-0000-0500-0000EC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533400</xdr:colOff>
          <xdr:row>423</xdr:row>
          <xdr:rowOff>0</xdr:rowOff>
        </xdr:from>
        <xdr:to>
          <xdr:col>6</xdr:col>
          <xdr:colOff>676275</xdr:colOff>
          <xdr:row>423</xdr:row>
          <xdr:rowOff>0</xdr:rowOff>
        </xdr:to>
        <xdr:sp macro="" textlink="">
          <xdr:nvSpPr>
            <xdr:cNvPr id="96259" name="CommandButton1" hidden="1">
              <a:extLst>
                <a:ext uri="{63B3BB69-23CF-44E3-9099-C40C66FF867C}">
                  <a14:compatExt spid="_x0000_s96259"/>
                </a:ext>
                <a:ext uri="{FF2B5EF4-FFF2-40B4-BE49-F238E27FC236}">
                  <a16:creationId xmlns:a16="http://schemas.microsoft.com/office/drawing/2014/main" id="{00000000-0008-0000-0500-000003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llateral_Management/Deckungsstock/CMT%20-%20Collateral%20Management%20Tool/Reports/HTT/NC_HTT_Mortgage&amp;Public_V2_021121_CMTP_inkl_SQLs_ne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ssp\1\Users\hoganjo\AppData\Local\Microsoft\Windows\Temporary%20Internet%20Files\Content.Outlook\7PFMHLHL\Moodys%20Covered%20Bonds%20Input%20Template_December%202017%20v5%20(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sheetName val="Pilot"/>
      <sheetName val="Data_definitions"/>
      <sheetName val="SQL backup"/>
      <sheetName val="Disclaimer"/>
      <sheetName val="Introduction"/>
      <sheetName val="Completion Instructions"/>
      <sheetName val="FAQ"/>
      <sheetName val="A. HTT General_Mortgage"/>
      <sheetName val="A. HTT General_Public"/>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sheetData sheetId="1">
        <row r="6">
          <cell r="C6" vm="7">
            <v>266594453.65000001</v>
          </cell>
        </row>
        <row r="7">
          <cell r="C7" vm="8">
            <v>158430349.37</v>
          </cell>
        </row>
        <row r="8">
          <cell r="C8" vm="9">
            <v>340265390.88</v>
          </cell>
        </row>
      </sheetData>
      <sheetData sheetId="2">
        <row r="3">
          <cell r="F3" t="str" vm="10">
            <v>30.06.2023</v>
          </cell>
        </row>
        <row r="4">
          <cell r="F4" t="str" vm="11">
            <v>Summe von SLICE</v>
          </cell>
        </row>
        <row r="5">
          <cell r="F5" t="str" vm="12">
            <v>30.06.2023</v>
          </cell>
        </row>
        <row r="6">
          <cell r="F6" t="str" vm="13">
            <v>Summe von NOMINALE_EUR</v>
          </cell>
        </row>
        <row r="7">
          <cell r="F7" t="str" vm="14">
            <v>J_M</v>
          </cell>
        </row>
        <row r="8">
          <cell r="F8" t="str" vm="15">
            <v>J_P</v>
          </cell>
        </row>
        <row r="9">
          <cell r="F9" t="e">
            <v>#N/A</v>
          </cell>
        </row>
        <row r="10">
          <cell r="F10" t="str" vm="16">
            <v>Summe von SLICE 2</v>
          </cell>
        </row>
        <row r="12">
          <cell r="F12" t="str" vm="17">
            <v>&lt;1y</v>
          </cell>
        </row>
        <row r="13">
          <cell r="F13" t="str" vm="18">
            <v>&gt;=1-&lt;2y</v>
          </cell>
        </row>
        <row r="14">
          <cell r="F14" t="str" vm="19">
            <v>&gt;=2-&lt;3y</v>
          </cell>
        </row>
        <row r="15">
          <cell r="F15" t="str" vm="20">
            <v>&gt;=3-&lt;4y</v>
          </cell>
        </row>
        <row r="16">
          <cell r="F16" t="str" vm="21">
            <v>&gt;=4-&lt;5y</v>
          </cell>
        </row>
        <row r="17">
          <cell r="F17" t="str" vm="22">
            <v>&gt;=5-&lt;10y</v>
          </cell>
        </row>
        <row r="18">
          <cell r="F18" t="str" vm="23">
            <v>&gt;=10Y</v>
          </cell>
        </row>
        <row r="19">
          <cell r="F19" t="str" vm="24">
            <v>&lt;1y</v>
          </cell>
        </row>
        <row r="20">
          <cell r="F20" t="str" vm="25">
            <v>&gt;=1-&lt;2y</v>
          </cell>
        </row>
        <row r="21">
          <cell r="F21" t="str" vm="26">
            <v>&gt;=2-&lt;3y</v>
          </cell>
        </row>
        <row r="22">
          <cell r="F22" t="str" vm="27">
            <v>&gt;=3-&lt;4y</v>
          </cell>
        </row>
        <row r="23">
          <cell r="F23" t="str" vm="28">
            <v>&gt;=4-&lt;5y</v>
          </cell>
        </row>
        <row r="24">
          <cell r="F24" t="str" vm="29">
            <v>&gt;=5-&lt;10y</v>
          </cell>
        </row>
        <row r="25">
          <cell r="F25" t="str" vm="30">
            <v>&gt;=10y</v>
          </cell>
        </row>
        <row r="26">
          <cell r="F26" t="str" vm="31">
            <v>CHF</v>
          </cell>
        </row>
        <row r="27">
          <cell r="F27" t="str" vm="32">
            <v>EUR</v>
          </cell>
        </row>
        <row r="29">
          <cell r="F29" t="str" vm="33">
            <v>Yes</v>
          </cell>
        </row>
        <row r="31">
          <cell r="F31" t="str" vm="34">
            <v>&lt;1y</v>
          </cell>
        </row>
        <row r="32">
          <cell r="F32" t="str" vm="35">
            <v>&gt;=1-&lt;2y</v>
          </cell>
        </row>
        <row r="33">
          <cell r="F33" t="str" vm="36">
            <v>&gt;=2-&lt;3y</v>
          </cell>
        </row>
        <row r="34">
          <cell r="F34" t="str" vm="37">
            <v>&gt;=3-&lt;4y</v>
          </cell>
        </row>
        <row r="35">
          <cell r="F35" t="str" vm="38">
            <v>&gt;=4-&lt;5y</v>
          </cell>
        </row>
        <row r="36">
          <cell r="F36" t="str" vm="39">
            <v>&gt;=5-&lt;10y</v>
          </cell>
        </row>
        <row r="37">
          <cell r="F37" t="str" vm="40">
            <v>&gt;=10Y</v>
          </cell>
        </row>
        <row r="38">
          <cell r="F38" t="str" vm="41">
            <v>CHF</v>
          </cell>
        </row>
        <row r="39">
          <cell r="F39" t="str" vm="42">
            <v>EUR</v>
          </cell>
        </row>
        <row r="41">
          <cell r="F41" t="str" vm="43">
            <v>Yes</v>
          </cell>
        </row>
        <row r="42">
          <cell r="F42" t="str" vm="44">
            <v>COM</v>
          </cell>
        </row>
        <row r="46">
          <cell r="F46" t="str" vm="45">
            <v>Anzahl von KONTONUMMER</v>
          </cell>
        </row>
        <row r="55">
          <cell r="F55" t="str" vm="46">
            <v>Burgenland</v>
          </cell>
        </row>
        <row r="56">
          <cell r="F56" t="str" vm="47">
            <v>Kärnten</v>
          </cell>
        </row>
        <row r="57">
          <cell r="F57" t="str" vm="48">
            <v>Niederösterreich</v>
          </cell>
        </row>
        <row r="58">
          <cell r="F58" t="str" vm="49">
            <v>Oberösterreich</v>
          </cell>
        </row>
        <row r="59">
          <cell r="F59" t="str" vm="50">
            <v>Salzburg</v>
          </cell>
        </row>
        <row r="60">
          <cell r="F60" t="str" vm="51">
            <v>Steiermark</v>
          </cell>
        </row>
        <row r="61">
          <cell r="F61" t="str" vm="52">
            <v>Tirol</v>
          </cell>
        </row>
        <row r="62">
          <cell r="F62" t="str" vm="53">
            <v>Vorarlberg</v>
          </cell>
        </row>
        <row r="63">
          <cell r="F63" t="str" vm="54">
            <v>Wien</v>
          </cell>
        </row>
        <row r="64">
          <cell r="F64" t="e">
            <v>#N/A</v>
          </cell>
        </row>
        <row r="65">
          <cell r="F65" t="str" vm="55">
            <v>F</v>
          </cell>
        </row>
        <row r="66">
          <cell r="F66" t="str" vm="56">
            <v>V</v>
          </cell>
        </row>
        <row r="67">
          <cell r="F67" t="str" vm="57">
            <v/>
          </cell>
        </row>
        <row r="68">
          <cell r="F68" t="str" vm="58">
            <v>Amortising</v>
          </cell>
        </row>
        <row r="69">
          <cell r="F69" t="str" vm="59">
            <v>Bullet</v>
          </cell>
        </row>
        <row r="70">
          <cell r="F70" t="str" vm="60">
            <v>&lt;12m</v>
          </cell>
        </row>
        <row r="71">
          <cell r="F71" t="str" vm="61">
            <v>&gt;=12-&lt;24m</v>
          </cell>
        </row>
        <row r="72">
          <cell r="F72" t="str" vm="62">
            <v>&gt;=24-&lt;36m</v>
          </cell>
        </row>
        <row r="73">
          <cell r="F73" t="str" vm="63">
            <v>&gt;=36-&lt;60m</v>
          </cell>
        </row>
        <row r="74">
          <cell r="F74" t="str" vm="64">
            <v>&gt;=60m</v>
          </cell>
        </row>
        <row r="76">
          <cell r="F76" t="str" vm="65">
            <v>Agricultural</v>
          </cell>
        </row>
        <row r="77">
          <cell r="F77" t="str" vm="66">
            <v>Buy-to-let/Non-owner occupied</v>
          </cell>
        </row>
        <row r="79">
          <cell r="F79" t="str" vm="67">
            <v>Owner occupied</v>
          </cell>
        </row>
        <row r="80">
          <cell r="F80" t="str" vm="68">
            <v>Second home/Holiday houses</v>
          </cell>
        </row>
        <row r="81">
          <cell r="F81" t="str" vm="69">
            <v>&lt;100.000</v>
          </cell>
        </row>
        <row r="82">
          <cell r="F82" t="str" vm="70">
            <v>&gt;=100.000-&lt;300.000</v>
          </cell>
        </row>
        <row r="83">
          <cell r="F83" t="str" vm="71">
            <v>&gt;=300.000-&lt;500.000</v>
          </cell>
        </row>
        <row r="84">
          <cell r="F84" t="str" vm="72">
            <v>&gt;=500.000-&lt;1.000.000</v>
          </cell>
        </row>
        <row r="85">
          <cell r="F85" t="str" vm="73">
            <v>&gt;=1.000.000-&lt;5.000.000</v>
          </cell>
        </row>
        <row r="86">
          <cell r="F86" t="str" vm="74">
            <v>&gt;=5.000.000</v>
          </cell>
        </row>
        <row r="87">
          <cell r="F87" t="str" vm="75">
            <v>&gt;0-&lt;=40%</v>
          </cell>
        </row>
        <row r="88">
          <cell r="F88" t="str" vm="76">
            <v>&gt;40-&lt;=50%</v>
          </cell>
        </row>
        <row r="89">
          <cell r="F89" t="str" vm="77">
            <v>&gt;50-&lt;=60%</v>
          </cell>
        </row>
        <row r="90">
          <cell r="F90" t="str" vm="78">
            <v>&gt;60-&lt;=70%</v>
          </cell>
        </row>
        <row r="91">
          <cell r="F91" t="str" vm="79">
            <v>&gt;70-&lt;=80%</v>
          </cell>
        </row>
        <row r="92">
          <cell r="F92" t="str" vm="80">
            <v>&gt;80-&lt;=90%</v>
          </cell>
        </row>
        <row r="93">
          <cell r="F93" t="str" vm="81">
            <v>&gt;90-&lt;=100%</v>
          </cell>
        </row>
        <row r="94">
          <cell r="F94" t="str" vm="82">
            <v>&gt;100%</v>
          </cell>
        </row>
        <row r="95">
          <cell r="F95" t="str" vm="83">
            <v>&lt;100.000</v>
          </cell>
        </row>
        <row r="96">
          <cell r="F96" t="str" vm="84">
            <v>&gt;=100.000-&lt;300.000</v>
          </cell>
        </row>
        <row r="97">
          <cell r="F97" t="str" vm="85">
            <v>&gt;=300.000-&lt;500.000</v>
          </cell>
        </row>
        <row r="98">
          <cell r="F98" t="str" vm="86">
            <v>&gt;=500.000-&lt;1.000.000</v>
          </cell>
        </row>
        <row r="99">
          <cell r="F99" t="str" vm="87">
            <v>&gt;=1.000.000-&lt;5.000.000</v>
          </cell>
        </row>
        <row r="100">
          <cell r="F100" t="str" vm="88">
            <v>&gt;=5.000.000</v>
          </cell>
        </row>
        <row r="105">
          <cell r="F105" t="str" vm="89">
            <v>BUN</v>
          </cell>
        </row>
        <row r="107">
          <cell r="F107" t="str" vm="90">
            <v>GEM</v>
          </cell>
        </row>
        <row r="108">
          <cell r="F108" t="str" vm="91">
            <v>LAN</v>
          </cell>
        </row>
        <row r="111">
          <cell r="F111" t="str" vm="92">
            <v>Amortising</v>
          </cell>
        </row>
        <row r="112">
          <cell r="F112" t="str" vm="93">
            <v>Bullet</v>
          </cell>
        </row>
        <row r="113">
          <cell r="F113" t="str" vm="94">
            <v>(Leer)</v>
          </cell>
        </row>
        <row r="114">
          <cell r="F114" t="str" vm="95">
            <v>F</v>
          </cell>
        </row>
        <row r="115">
          <cell r="F115" t="str" vm="96">
            <v>V</v>
          </cell>
        </row>
        <row r="126">
          <cell r="F126" t="str" vm="97">
            <v>Anzahl von KONTONUMMER 2</v>
          </cell>
        </row>
        <row r="127">
          <cell r="F127" t="str" vm="98">
            <v>COM</v>
          </cell>
        </row>
        <row r="128">
          <cell r="F128" t="str" vm="99">
            <v>RES</v>
          </cell>
        </row>
        <row r="129">
          <cell r="F129" t="str" vm="100">
            <v>Summe von gewichtet LTV</v>
          </cell>
        </row>
        <row r="133">
          <cell r="F133" t="str" vm="101">
            <v>Summe von Rlfzt_gewichtet_public</v>
          </cell>
        </row>
        <row r="134">
          <cell r="F134" t="str" vm="102">
            <v>Summe von Rlfzt_gewichtet_Mortgage</v>
          </cell>
        </row>
        <row r="135">
          <cell r="F135" t="str" vm="103">
            <v>Summe von gewichtet_Restlaufzeit_bonds</v>
          </cell>
        </row>
        <row r="147">
          <cell r="F147" t="str" vm="104">
            <v>Netherlands</v>
          </cell>
        </row>
        <row r="151">
          <cell r="F151" t="str" vm="105">
            <v>DE</v>
          </cell>
        </row>
        <row r="152">
          <cell r="F152" t="str" vm="44">
            <v>COM</v>
          </cell>
        </row>
        <row r="154">
          <cell r="F154" t="str" vm="106">
            <v>RES</v>
          </cell>
        </row>
        <row r="155">
          <cell r="F155" t="str" vm="107">
            <v>WBG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ront Page"/>
      <sheetName val="Definitions"/>
      <sheetName val="CB Programme Overview"/>
      <sheetName val="Over-Collateralisation"/>
      <sheetName val="Residential"/>
      <sheetName val="Commercial Stratified"/>
      <sheetName val="Commercial LbyL"/>
      <sheetName val="Chart1"/>
      <sheetName val="Commercial PbyP"/>
      <sheetName val="PublicSector"/>
      <sheetName val="Substitute Collateral"/>
      <sheetName val="Hedging (1)"/>
      <sheetName val="Hedging (2)"/>
      <sheetName val="Hedging (3)"/>
      <sheetName val="Hedging (4)"/>
      <sheetName val="Lists"/>
      <sheetName val="Language"/>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row r="35">
          <cell r="K35" t="str">
            <v>Direct claim against supranational</v>
          </cell>
        </row>
        <row r="36">
          <cell r="K36" t="str">
            <v>Direct claim against sovereign</v>
          </cell>
        </row>
        <row r="37">
          <cell r="K37" t="str">
            <v>Loan with guarantee of sovereign</v>
          </cell>
        </row>
        <row r="38">
          <cell r="K38" t="str">
            <v>Direct claim against region/federal state</v>
          </cell>
        </row>
        <row r="39">
          <cell r="K39" t="str">
            <v>Loan with guarantee of region/federal state</v>
          </cell>
        </row>
        <row r="40">
          <cell r="K40" t="str">
            <v>Direct claim against municipality</v>
          </cell>
        </row>
        <row r="41">
          <cell r="K41" t="str">
            <v>Loan with guarantee of municipality</v>
          </cell>
        </row>
        <row r="42">
          <cell r="K42" t="str">
            <v>Others</v>
          </cell>
        </row>
      </sheetData>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legal-content/EN/TXT/?uri=CELEX:32013R0575" TargetMode="External"/><Relationship Id="rId2" Type="http://schemas.openxmlformats.org/officeDocument/2006/relationships/hyperlink" Target="https://eur-lex.europa.eu/legal-content/EN/TXT/?uri=CELEX:32019L2162" TargetMode="External"/><Relationship Id="rId1" Type="http://schemas.openxmlformats.org/officeDocument/2006/relationships/hyperlink" Target="https://www.bawaggroup.com/" TargetMode="External"/><Relationship Id="rId6" Type="http://schemas.openxmlformats.org/officeDocument/2006/relationships/printerSettings" Target="../printerSettings/printerSettings2.bin"/><Relationship Id="rId5" Type="http://schemas.openxmlformats.org/officeDocument/2006/relationships/hyperlink" Target="https://www.bawaggroup.com/BAWAGGROUP/IR/EN/ESG" TargetMode="External"/><Relationship Id="rId4" Type="http://schemas.openxmlformats.org/officeDocument/2006/relationships/hyperlink" Target="https://www.bawaggroup.com/en/investor-relations/debt-investor/fundings/covered-bonds/public-sector-covered-bond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0.bin"/><Relationship Id="rId7" Type="http://schemas.openxmlformats.org/officeDocument/2006/relationships/image" Target="../media/image1.emf"/><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ontrol" Target="../activeX/activeX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M23"/>
  <sheetViews>
    <sheetView showGridLines="0" workbookViewId="0">
      <selection activeCell="J13" sqref="J13"/>
    </sheetView>
  </sheetViews>
  <sheetFormatPr baseColWidth="10" defaultColWidth="9.140625" defaultRowHeight="12.75"/>
  <cols>
    <col min="1" max="5" width="9.140625" style="286"/>
    <col min="6" max="6" width="49.42578125" style="286" bestFit="1" customWidth="1"/>
    <col min="7" max="16384" width="9.140625" style="286"/>
  </cols>
  <sheetData>
    <row r="1" spans="1:13">
      <c r="A1" s="284"/>
      <c r="B1" s="285"/>
      <c r="C1" s="285"/>
      <c r="D1" s="285"/>
      <c r="E1" s="285"/>
      <c r="F1" s="285"/>
      <c r="G1" s="285"/>
      <c r="H1" s="285"/>
      <c r="I1" s="285"/>
      <c r="J1" s="285"/>
      <c r="K1" s="285"/>
      <c r="L1" s="285"/>
      <c r="M1" s="285"/>
    </row>
    <row r="2" spans="1:13">
      <c r="A2" s="285"/>
      <c r="B2" s="285"/>
      <c r="C2" s="285"/>
      <c r="D2" s="285"/>
      <c r="E2" s="285"/>
      <c r="F2" s="285"/>
      <c r="G2" s="285"/>
      <c r="H2" s="285"/>
      <c r="I2" s="285"/>
      <c r="J2" s="285"/>
      <c r="K2" s="285"/>
      <c r="L2" s="285"/>
      <c r="M2" s="285"/>
    </row>
    <row r="3" spans="1:13" ht="26.25">
      <c r="A3" s="287"/>
      <c r="B3" s="285"/>
      <c r="C3" s="285"/>
      <c r="D3" s="285"/>
      <c r="E3" s="285"/>
      <c r="F3" s="285"/>
      <c r="G3" s="285"/>
      <c r="H3" s="285"/>
      <c r="I3" s="285"/>
      <c r="J3" s="285"/>
      <c r="K3" s="285"/>
      <c r="L3" s="285"/>
      <c r="M3" s="285"/>
    </row>
    <row r="4" spans="1:13" ht="26.25">
      <c r="A4" s="287"/>
      <c r="B4" s="285"/>
      <c r="C4" s="285"/>
      <c r="D4" s="285"/>
      <c r="E4" s="285"/>
      <c r="F4" s="285"/>
      <c r="G4" s="285"/>
      <c r="H4" s="285"/>
      <c r="I4" s="285"/>
      <c r="J4" s="285"/>
      <c r="K4" s="285"/>
      <c r="L4" s="285"/>
      <c r="M4" s="285"/>
    </row>
    <row r="5" spans="1:13" ht="26.25">
      <c r="A5" s="287"/>
      <c r="B5" s="285"/>
      <c r="C5" s="285"/>
      <c r="D5" s="285"/>
      <c r="E5" s="285"/>
      <c r="F5" s="285"/>
      <c r="G5" s="285"/>
      <c r="H5" s="285"/>
      <c r="I5" s="285"/>
      <c r="J5" s="285"/>
      <c r="K5" s="285"/>
      <c r="L5" s="285"/>
      <c r="M5" s="285"/>
    </row>
    <row r="6" spans="1:13" ht="26.25">
      <c r="A6" s="287" t="s">
        <v>0</v>
      </c>
      <c r="B6" s="285"/>
      <c r="C6" s="285"/>
      <c r="D6" s="285"/>
      <c r="E6" s="285"/>
      <c r="F6" s="285"/>
      <c r="G6" s="285"/>
      <c r="H6" s="285"/>
      <c r="I6" s="285"/>
      <c r="J6" s="285"/>
      <c r="K6" s="285"/>
      <c r="L6" s="285"/>
      <c r="M6" s="285"/>
    </row>
    <row r="7" spans="1:13" ht="26.25">
      <c r="A7" s="287"/>
      <c r="B7" s="285"/>
      <c r="C7" s="285"/>
      <c r="D7" s="285"/>
      <c r="E7" s="285"/>
      <c r="F7" s="288"/>
      <c r="G7" s="285"/>
      <c r="H7" s="285"/>
      <c r="I7" s="285"/>
      <c r="J7" s="285"/>
      <c r="K7" s="285"/>
      <c r="L7" s="285"/>
      <c r="M7" s="285"/>
    </row>
    <row r="8" spans="1:13" ht="13.5">
      <c r="A8" s="289"/>
      <c r="B8" s="285"/>
      <c r="C8" s="285"/>
      <c r="D8" s="285"/>
      <c r="E8" s="290" t="s">
        <v>1</v>
      </c>
      <c r="F8" s="288">
        <v>4</v>
      </c>
      <c r="G8" s="285"/>
      <c r="H8" s="285"/>
      <c r="I8" s="285"/>
      <c r="J8" s="285"/>
      <c r="K8" s="285"/>
      <c r="L8" s="285"/>
      <c r="M8" s="285"/>
    </row>
    <row r="9" spans="1:13" ht="13.5">
      <c r="A9" s="285"/>
      <c r="B9" s="285"/>
      <c r="C9" s="285"/>
      <c r="D9" s="285"/>
      <c r="E9" s="290" t="s">
        <v>2</v>
      </c>
      <c r="F9" s="291" t="s">
        <v>3</v>
      </c>
      <c r="G9" s="285"/>
      <c r="H9" s="285"/>
      <c r="I9" s="285"/>
      <c r="J9" s="285"/>
      <c r="K9" s="285"/>
      <c r="L9" s="285"/>
      <c r="M9" s="285"/>
    </row>
    <row r="10" spans="1:13" ht="13.5">
      <c r="A10" s="285"/>
      <c r="B10" s="285"/>
      <c r="C10" s="285"/>
      <c r="D10" s="285"/>
      <c r="E10" s="290" t="s">
        <v>4</v>
      </c>
      <c r="F10" s="288" t="s">
        <v>5</v>
      </c>
      <c r="G10" s="285"/>
      <c r="H10" s="285"/>
      <c r="I10" s="285"/>
      <c r="J10" s="285"/>
      <c r="K10" s="285"/>
      <c r="L10" s="285"/>
      <c r="M10" s="285"/>
    </row>
    <row r="11" spans="1:13" ht="13.5">
      <c r="A11" s="285"/>
      <c r="B11" s="285"/>
      <c r="C11" s="285"/>
      <c r="D11" s="285"/>
      <c r="E11" s="290" t="s">
        <v>6</v>
      </c>
      <c r="F11" s="288">
        <v>12</v>
      </c>
      <c r="G11" s="285"/>
      <c r="H11" s="285"/>
      <c r="I11" s="285"/>
      <c r="J11" s="285"/>
      <c r="K11" s="285"/>
      <c r="L11" s="285"/>
      <c r="M11" s="285"/>
    </row>
    <row r="12" spans="1:13" ht="13.5">
      <c r="A12" s="285"/>
      <c r="B12" s="285"/>
      <c r="C12" s="285"/>
      <c r="D12" s="285"/>
      <c r="E12" s="290"/>
      <c r="F12" s="288"/>
      <c r="G12" s="285"/>
      <c r="H12" s="285"/>
      <c r="I12" s="285"/>
      <c r="J12" s="285"/>
      <c r="K12" s="285"/>
      <c r="L12" s="285"/>
      <c r="M12" s="285"/>
    </row>
    <row r="13" spans="1:13" ht="13.5">
      <c r="A13" s="285"/>
      <c r="B13" s="285"/>
      <c r="C13" s="285"/>
      <c r="D13" s="285"/>
      <c r="E13" s="290" t="s">
        <v>7</v>
      </c>
      <c r="F13" s="288" t="s">
        <v>8</v>
      </c>
      <c r="G13" s="285"/>
      <c r="H13" s="285"/>
      <c r="I13" s="285"/>
      <c r="J13" s="285"/>
      <c r="K13" s="285"/>
      <c r="L13" s="285"/>
      <c r="M13" s="285"/>
    </row>
    <row r="14" spans="1:13" ht="13.5">
      <c r="A14" s="285"/>
      <c r="B14" s="285"/>
      <c r="C14" s="285"/>
      <c r="D14" s="285"/>
      <c r="E14" s="292"/>
      <c r="F14" s="293" t="s">
        <v>9</v>
      </c>
      <c r="G14" s="285"/>
      <c r="H14" s="285"/>
      <c r="I14" s="285"/>
      <c r="J14" s="285"/>
      <c r="K14" s="285"/>
      <c r="L14" s="285"/>
      <c r="M14" s="285"/>
    </row>
    <row r="15" spans="1:13" ht="13.5">
      <c r="A15" s="285"/>
      <c r="B15" s="285"/>
      <c r="C15" s="285"/>
      <c r="D15" s="285"/>
      <c r="E15" s="294" t="s">
        <v>10</v>
      </c>
      <c r="F15" s="285"/>
      <c r="G15" s="285"/>
      <c r="H15" s="285"/>
      <c r="I15" s="285"/>
      <c r="J15" s="285"/>
      <c r="K15" s="285"/>
      <c r="L15" s="285"/>
      <c r="M15" s="285"/>
    </row>
    <row r="16" spans="1:13">
      <c r="A16" s="285"/>
      <c r="B16" s="285"/>
      <c r="C16" s="285"/>
      <c r="D16" s="285"/>
      <c r="E16" s="285"/>
      <c r="F16" s="285"/>
      <c r="G16" s="285"/>
      <c r="H16" s="285"/>
      <c r="I16" s="285"/>
      <c r="J16" s="285"/>
      <c r="K16" s="285"/>
      <c r="L16" s="285"/>
      <c r="M16" s="285"/>
    </row>
    <row r="17" spans="1:13" ht="18.75">
      <c r="A17" s="295" t="s">
        <v>11</v>
      </c>
      <c r="B17" s="285"/>
      <c r="C17" s="285"/>
      <c r="D17" s="285"/>
      <c r="E17" s="285"/>
      <c r="F17" s="285"/>
      <c r="G17" s="285"/>
      <c r="H17" s="285"/>
      <c r="I17" s="285"/>
      <c r="J17" s="285"/>
      <c r="K17" s="285"/>
      <c r="L17" s="285"/>
      <c r="M17" s="285"/>
    </row>
    <row r="18" spans="1:13" ht="15">
      <c r="A18" s="296" t="s">
        <v>12</v>
      </c>
      <c r="B18" s="285"/>
      <c r="C18" s="285"/>
      <c r="D18" s="285"/>
      <c r="E18" s="285"/>
      <c r="F18" s="285"/>
      <c r="G18" s="285"/>
      <c r="H18" s="285"/>
      <c r="I18" s="285"/>
      <c r="J18" s="285"/>
      <c r="K18" s="285"/>
      <c r="L18" s="285"/>
      <c r="M18" s="285"/>
    </row>
    <row r="19" spans="1:13">
      <c r="A19" s="285"/>
      <c r="B19" s="285"/>
      <c r="C19" s="285"/>
      <c r="D19" s="285"/>
      <c r="E19" s="285"/>
      <c r="F19" s="285"/>
      <c r="G19" s="285"/>
      <c r="H19" s="285"/>
      <c r="I19" s="285"/>
      <c r="J19" s="285"/>
      <c r="K19" s="285"/>
      <c r="L19" s="285"/>
      <c r="M19" s="285"/>
    </row>
    <row r="20" spans="1:13">
      <c r="A20" s="285"/>
      <c r="B20" s="285"/>
      <c r="C20" s="285"/>
      <c r="D20" s="285"/>
      <c r="E20" s="285"/>
      <c r="F20" s="285"/>
      <c r="G20" s="285"/>
      <c r="H20" s="285"/>
      <c r="I20" s="285"/>
      <c r="J20" s="285"/>
      <c r="K20" s="285"/>
      <c r="L20" s="285"/>
      <c r="M20" s="285"/>
    </row>
    <row r="21" spans="1:13">
      <c r="A21" s="285"/>
      <c r="B21" s="285"/>
      <c r="C21" s="285"/>
      <c r="D21" s="285"/>
      <c r="E21" s="285"/>
      <c r="F21" s="285"/>
      <c r="G21" s="285"/>
      <c r="H21" s="285"/>
      <c r="I21" s="285"/>
      <c r="J21" s="285"/>
      <c r="K21" s="285"/>
      <c r="L21" s="285"/>
      <c r="M21" s="285"/>
    </row>
    <row r="22" spans="1:13">
      <c r="A22" s="285"/>
      <c r="B22" s="285"/>
      <c r="C22" s="285"/>
      <c r="D22" s="285"/>
      <c r="E22" s="285"/>
      <c r="F22" s="285"/>
      <c r="G22" s="285"/>
      <c r="H22" s="285"/>
      <c r="I22" s="285"/>
      <c r="J22" s="285"/>
      <c r="K22" s="285"/>
      <c r="L22" s="285"/>
      <c r="M22" s="285"/>
    </row>
    <row r="23" spans="1:13">
      <c r="A23" s="285"/>
      <c r="B23" s="285"/>
      <c r="C23" s="285"/>
      <c r="D23" s="285"/>
      <c r="E23" s="285"/>
      <c r="F23" s="285"/>
      <c r="G23" s="285"/>
      <c r="H23" s="285"/>
      <c r="I23" s="285"/>
      <c r="J23" s="285"/>
      <c r="K23" s="285"/>
      <c r="L23" s="285"/>
      <c r="M23" s="285"/>
    </row>
  </sheetData>
  <customSheetViews>
    <customSheetView guid="{51EFF3A7-EBAD-4444-AC2F-4C032192BE96}" showGridLines="0" state="hidden">
      <selection activeCell="J13" sqref="J13"/>
      <pageMargins left="0" right="0" top="0" bottom="0" header="0" footer="0"/>
    </customSheetView>
  </customSheetView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EEF7-2A38-4431-884D-3878647ABBC8}">
  <sheetPr codeName="Tabelle4">
    <tabColor rgb="FFC00000"/>
  </sheetPr>
  <dimension ref="A1:K412"/>
  <sheetViews>
    <sheetView tabSelected="1" workbookViewId="0">
      <selection activeCell="G30" sqref="G30"/>
    </sheetView>
  </sheetViews>
  <sheetFormatPr baseColWidth="10" defaultColWidth="11.5703125" defaultRowHeight="15"/>
  <cols>
    <col min="1" max="1" width="13.28515625" style="412" customWidth="1"/>
    <col min="2" max="2" width="60.7109375" style="412" customWidth="1"/>
    <col min="3" max="3" width="51.85546875" style="412" customWidth="1"/>
    <col min="4" max="4" width="35.140625" style="412" bestFit="1" customWidth="1"/>
    <col min="5" max="5" width="8" style="412" customWidth="1"/>
    <col min="6" max="6" width="41.7109375" style="412" customWidth="1"/>
    <col min="7" max="7" width="41.7109375" style="405" customWidth="1"/>
    <col min="8" max="9" width="11.5703125" style="407"/>
    <col min="10" max="10" width="43.42578125" style="407" bestFit="1" customWidth="1"/>
    <col min="11" max="16384" width="11.5703125" style="407"/>
  </cols>
  <sheetData>
    <row r="1" spans="1:7" ht="31.5">
      <c r="A1" s="404" t="s">
        <v>35</v>
      </c>
      <c r="B1" s="404"/>
      <c r="C1" s="405"/>
      <c r="D1" s="405"/>
      <c r="E1" s="405"/>
      <c r="F1" s="406"/>
    </row>
    <row r="2" spans="1:7" ht="15.75" thickBot="1">
      <c r="A2" s="405"/>
      <c r="B2" s="408"/>
      <c r="C2" s="408"/>
      <c r="D2" s="405"/>
      <c r="E2" s="405"/>
      <c r="F2" s="405"/>
    </row>
    <row r="3" spans="1:7" ht="19.5" thickBot="1">
      <c r="A3" s="409"/>
      <c r="B3" s="410" t="s">
        <v>36</v>
      </c>
      <c r="C3" s="411" t="s">
        <v>37</v>
      </c>
      <c r="D3" s="409"/>
      <c r="E3" s="409"/>
      <c r="F3" s="405"/>
      <c r="G3" s="409"/>
    </row>
    <row r="4" spans="1:7" ht="15.75" thickBot="1"/>
    <row r="5" spans="1:7" ht="18.75">
      <c r="A5" s="413"/>
      <c r="B5" s="414" t="s">
        <v>38</v>
      </c>
      <c r="C5" s="413"/>
      <c r="E5" s="415"/>
      <c r="F5" s="415"/>
    </row>
    <row r="6" spans="1:7">
      <c r="B6" s="416" t="s">
        <v>39</v>
      </c>
    </row>
    <row r="7" spans="1:7">
      <c r="B7" s="417" t="s">
        <v>40</v>
      </c>
    </row>
    <row r="8" spans="1:7">
      <c r="B8" s="417" t="s">
        <v>41</v>
      </c>
      <c r="F8" s="412" t="s">
        <v>42</v>
      </c>
    </row>
    <row r="9" spans="1:7">
      <c r="B9" s="416" t="s">
        <v>43</v>
      </c>
    </row>
    <row r="10" spans="1:7">
      <c r="B10" s="416" t="s">
        <v>44</v>
      </c>
    </row>
    <row r="11" spans="1:7" ht="15.75" thickBot="1">
      <c r="B11" s="418" t="s">
        <v>45</v>
      </c>
    </row>
    <row r="12" spans="1:7">
      <c r="B12" s="419"/>
    </row>
    <row r="13" spans="1:7" ht="37.5">
      <c r="A13" s="420" t="s">
        <v>46</v>
      </c>
      <c r="B13" s="420" t="s">
        <v>39</v>
      </c>
      <c r="C13" s="421"/>
      <c r="D13" s="421"/>
      <c r="E13" s="421"/>
      <c r="F13" s="421"/>
      <c r="G13" s="422"/>
    </row>
    <row r="14" spans="1:7">
      <c r="A14" s="405" t="s">
        <v>47</v>
      </c>
      <c r="B14" s="423" t="s">
        <v>48</v>
      </c>
      <c r="C14" s="405" t="s">
        <v>49</v>
      </c>
      <c r="D14" s="405"/>
      <c r="E14" s="424"/>
      <c r="F14" s="424"/>
    </row>
    <row r="15" spans="1:7">
      <c r="A15" s="405" t="s">
        <v>50</v>
      </c>
      <c r="B15" s="423" t="s">
        <v>51</v>
      </c>
      <c r="C15" s="405" t="s">
        <v>52</v>
      </c>
      <c r="D15" s="405"/>
      <c r="E15" s="424"/>
      <c r="F15" s="424"/>
    </row>
    <row r="16" spans="1:7">
      <c r="A16" s="405" t="s">
        <v>53</v>
      </c>
      <c r="B16" s="423" t="s">
        <v>54</v>
      </c>
      <c r="C16" s="425" t="s">
        <v>55</v>
      </c>
      <c r="E16" s="415"/>
      <c r="F16" s="415"/>
    </row>
    <row r="17" spans="1:7">
      <c r="A17" s="405" t="s">
        <v>56</v>
      </c>
      <c r="B17" s="423" t="s">
        <v>57</v>
      </c>
      <c r="C17" s="496">
        <v>45382</v>
      </c>
      <c r="E17" s="415"/>
      <c r="F17" s="415"/>
    </row>
    <row r="18" spans="1:7">
      <c r="A18" s="405" t="s">
        <v>58</v>
      </c>
      <c r="B18" s="426" t="s">
        <v>59</v>
      </c>
      <c r="E18" s="415"/>
      <c r="F18" s="415"/>
    </row>
    <row r="19" spans="1:7">
      <c r="A19" s="405" t="s">
        <v>60</v>
      </c>
      <c r="B19" s="426" t="s">
        <v>61</v>
      </c>
      <c r="E19" s="415"/>
      <c r="F19" s="415"/>
    </row>
    <row r="20" spans="1:7">
      <c r="A20" s="405" t="s">
        <v>62</v>
      </c>
      <c r="B20" s="427"/>
      <c r="E20" s="415"/>
      <c r="F20" s="415"/>
    </row>
    <row r="21" spans="1:7">
      <c r="A21" s="405" t="s">
        <v>63</v>
      </c>
      <c r="B21" s="427"/>
      <c r="E21" s="415"/>
      <c r="F21" s="415"/>
    </row>
    <row r="22" spans="1:7">
      <c r="A22" s="405" t="s">
        <v>64</v>
      </c>
      <c r="B22" s="427"/>
      <c r="E22" s="415"/>
      <c r="F22" s="415"/>
    </row>
    <row r="23" spans="1:7">
      <c r="A23" s="405" t="s">
        <v>65</v>
      </c>
      <c r="B23" s="427"/>
      <c r="E23" s="415"/>
      <c r="F23" s="415"/>
    </row>
    <row r="24" spans="1:7">
      <c r="A24" s="405" t="s">
        <v>66</v>
      </c>
      <c r="B24" s="427"/>
      <c r="E24" s="415"/>
      <c r="F24" s="415"/>
    </row>
    <row r="25" spans="1:7">
      <c r="A25" s="405" t="s">
        <v>67</v>
      </c>
      <c r="B25" s="427"/>
      <c r="E25" s="415"/>
      <c r="F25" s="415"/>
    </row>
    <row r="26" spans="1:7" ht="18.75">
      <c r="A26" s="421"/>
      <c r="B26" s="420" t="s">
        <v>40</v>
      </c>
      <c r="C26" s="421"/>
      <c r="D26" s="421"/>
      <c r="E26" s="421"/>
      <c r="F26" s="421"/>
      <c r="G26" s="422"/>
    </row>
    <row r="27" spans="1:7">
      <c r="A27" s="405" t="s">
        <v>68</v>
      </c>
      <c r="B27" s="428" t="s">
        <v>69</v>
      </c>
      <c r="C27" s="428" t="s">
        <v>70</v>
      </c>
      <c r="D27" s="429"/>
      <c r="E27" s="429"/>
      <c r="F27" s="429"/>
    </row>
    <row r="28" spans="1:7">
      <c r="A28" s="405" t="s">
        <v>71</v>
      </c>
      <c r="B28" s="419" t="s">
        <v>72</v>
      </c>
      <c r="C28" s="428" t="s">
        <v>70</v>
      </c>
      <c r="D28" s="429"/>
      <c r="E28" s="429"/>
      <c r="F28" s="429"/>
    </row>
    <row r="29" spans="1:7">
      <c r="A29" s="405" t="s">
        <v>73</v>
      </c>
      <c r="B29" s="419" t="s">
        <v>74</v>
      </c>
      <c r="C29" s="405" t="s">
        <v>70</v>
      </c>
      <c r="E29" s="429"/>
      <c r="F29" s="429"/>
    </row>
    <row r="30" spans="1:7" ht="45">
      <c r="A30" s="405" t="s">
        <v>75</v>
      </c>
      <c r="B30" s="428" t="s">
        <v>76</v>
      </c>
      <c r="C30" s="425" t="s">
        <v>4259</v>
      </c>
      <c r="E30" s="429"/>
      <c r="F30" s="429"/>
    </row>
    <row r="31" spans="1:7">
      <c r="A31" s="405" t="s">
        <v>77</v>
      </c>
      <c r="B31" s="431"/>
      <c r="E31" s="429"/>
      <c r="F31" s="429"/>
    </row>
    <row r="32" spans="1:7">
      <c r="A32" s="405" t="s">
        <v>78</v>
      </c>
      <c r="B32" s="431"/>
      <c r="E32" s="429"/>
      <c r="F32" s="429"/>
    </row>
    <row r="33" spans="1:11">
      <c r="A33" s="405" t="s">
        <v>79</v>
      </c>
      <c r="B33" s="431"/>
      <c r="E33" s="429"/>
      <c r="F33" s="429"/>
    </row>
    <row r="34" spans="1:11">
      <c r="A34" s="405" t="s">
        <v>80</v>
      </c>
      <c r="B34" s="431"/>
      <c r="E34" s="429"/>
      <c r="F34" s="429"/>
    </row>
    <row r="35" spans="1:11">
      <c r="A35" s="405" t="s">
        <v>81</v>
      </c>
      <c r="B35" s="432"/>
      <c r="E35" s="429"/>
      <c r="F35" s="429"/>
    </row>
    <row r="36" spans="1:11" ht="18.75">
      <c r="A36" s="420"/>
      <c r="B36" s="420" t="s">
        <v>41</v>
      </c>
      <c r="C36" s="420"/>
      <c r="D36" s="421"/>
      <c r="E36" s="421"/>
      <c r="F36" s="421"/>
      <c r="G36" s="422"/>
    </row>
    <row r="37" spans="1:11">
      <c r="A37" s="433"/>
      <c r="B37" s="434" t="s">
        <v>82</v>
      </c>
      <c r="C37" s="433" t="s">
        <v>83</v>
      </c>
      <c r="D37" s="435"/>
      <c r="E37" s="435"/>
      <c r="F37" s="435"/>
      <c r="G37" s="436"/>
    </row>
    <row r="38" spans="1:11">
      <c r="A38" s="405" t="s">
        <v>84</v>
      </c>
      <c r="B38" s="428" t="s">
        <v>14</v>
      </c>
      <c r="C38" s="486">
        <v>2956055025.0000019</v>
      </c>
      <c r="D38" s="405"/>
      <c r="E38" s="405"/>
      <c r="F38" s="428"/>
    </row>
    <row r="39" spans="1:11">
      <c r="A39" s="405" t="s">
        <v>85</v>
      </c>
      <c r="B39" s="428" t="s">
        <v>15</v>
      </c>
      <c r="C39" s="486">
        <v>1565000000</v>
      </c>
      <c r="D39" s="405"/>
      <c r="E39" s="405"/>
      <c r="F39" s="428"/>
    </row>
    <row r="40" spans="1:11">
      <c r="A40" s="405" t="s">
        <v>86</v>
      </c>
      <c r="B40" s="438" t="s">
        <v>87</v>
      </c>
      <c r="C40" s="439" t="s">
        <v>88</v>
      </c>
      <c r="D40" s="405"/>
      <c r="E40" s="405"/>
      <c r="F40" s="428"/>
    </row>
    <row r="41" spans="1:11">
      <c r="A41" s="405" t="s">
        <v>89</v>
      </c>
      <c r="B41" s="438" t="s">
        <v>90</v>
      </c>
      <c r="C41" s="439" t="s">
        <v>88</v>
      </c>
      <c r="D41" s="405"/>
      <c r="E41" s="405"/>
      <c r="F41" s="428"/>
    </row>
    <row r="42" spans="1:11">
      <c r="A42" s="405" t="s">
        <v>91</v>
      </c>
      <c r="B42" s="428" t="s">
        <v>16</v>
      </c>
      <c r="C42" s="437">
        <v>1606300000</v>
      </c>
      <c r="D42" s="440"/>
      <c r="E42" s="405"/>
      <c r="F42" s="428"/>
    </row>
    <row r="43" spans="1:11">
      <c r="A43" s="405" t="s">
        <v>92</v>
      </c>
      <c r="B43" s="428" t="s">
        <v>93</v>
      </c>
      <c r="C43" s="405" t="s">
        <v>88</v>
      </c>
      <c r="D43" s="405"/>
      <c r="E43" s="405"/>
      <c r="F43" s="428"/>
    </row>
    <row r="44" spans="1:11">
      <c r="A44" s="433"/>
      <c r="B44" s="434" t="s">
        <v>94</v>
      </c>
      <c r="C44" s="441" t="s">
        <v>95</v>
      </c>
      <c r="D44" s="433" t="s">
        <v>96</v>
      </c>
      <c r="E44" s="435"/>
      <c r="F44" s="436" t="s">
        <v>97</v>
      </c>
      <c r="G44" s="436" t="s">
        <v>98</v>
      </c>
    </row>
    <row r="45" spans="1:11">
      <c r="A45" s="405" t="s">
        <v>99</v>
      </c>
      <c r="B45" s="428" t="s">
        <v>100</v>
      </c>
      <c r="C45" s="442">
        <v>0.02</v>
      </c>
      <c r="D45" s="442">
        <v>0.888853051118212</v>
      </c>
      <c r="E45" s="442"/>
      <c r="F45" s="442">
        <v>0.02</v>
      </c>
      <c r="G45" s="405" t="s">
        <v>88</v>
      </c>
    </row>
    <row r="46" spans="1:11" ht="30">
      <c r="A46" s="405" t="s">
        <v>101</v>
      </c>
      <c r="B46" s="428" t="s">
        <v>102</v>
      </c>
      <c r="C46" s="442">
        <v>2.6389776357827577E-2</v>
      </c>
      <c r="D46" s="442">
        <v>0.888853051118212</v>
      </c>
      <c r="E46" s="442"/>
      <c r="F46" s="442">
        <v>2.6389776357827577E-2</v>
      </c>
      <c r="G46" s="405" t="s">
        <v>88</v>
      </c>
      <c r="K46" s="444"/>
    </row>
    <row r="47" spans="1:11">
      <c r="A47" s="405" t="s">
        <v>103</v>
      </c>
      <c r="B47" s="426" t="s">
        <v>104</v>
      </c>
      <c r="C47" s="442"/>
      <c r="D47" s="442"/>
      <c r="E47" s="442"/>
      <c r="F47" s="442"/>
      <c r="G47" s="443"/>
      <c r="K47" s="445"/>
    </row>
    <row r="48" spans="1:11">
      <c r="A48" s="405" t="s">
        <v>105</v>
      </c>
      <c r="B48" s="426" t="s">
        <v>106</v>
      </c>
      <c r="C48" s="443"/>
      <c r="D48" s="443"/>
      <c r="E48" s="443"/>
      <c r="F48" s="443"/>
      <c r="G48" s="443"/>
    </row>
    <row r="49" spans="1:7">
      <c r="A49" s="405" t="s">
        <v>107</v>
      </c>
      <c r="B49" s="426"/>
      <c r="C49" s="443"/>
      <c r="D49" s="443"/>
      <c r="E49" s="443"/>
      <c r="F49" s="443"/>
      <c r="G49" s="443"/>
    </row>
    <row r="50" spans="1:7">
      <c r="A50" s="405" t="s">
        <v>108</v>
      </c>
      <c r="B50" s="426"/>
      <c r="C50" s="443"/>
      <c r="D50" s="443"/>
      <c r="E50" s="443"/>
      <c r="F50" s="443"/>
      <c r="G50" s="443"/>
    </row>
    <row r="51" spans="1:7">
      <c r="A51" s="405" t="s">
        <v>109</v>
      </c>
      <c r="B51" s="426"/>
      <c r="C51" s="443"/>
      <c r="D51" s="443"/>
      <c r="E51" s="443"/>
      <c r="F51" s="443"/>
      <c r="G51" s="443"/>
    </row>
    <row r="52" spans="1:7">
      <c r="A52" s="433"/>
      <c r="B52" s="434" t="s">
        <v>110</v>
      </c>
      <c r="C52" s="433" t="s">
        <v>83</v>
      </c>
      <c r="D52" s="433"/>
      <c r="E52" s="435"/>
      <c r="F52" s="436" t="s">
        <v>111</v>
      </c>
      <c r="G52" s="436"/>
    </row>
    <row r="53" spans="1:7">
      <c r="A53" s="405" t="s">
        <v>112</v>
      </c>
      <c r="B53" s="428" t="s">
        <v>113</v>
      </c>
      <c r="C53" s="486">
        <v>0</v>
      </c>
      <c r="D53" s="405"/>
      <c r="E53" s="446"/>
      <c r="F53" s="487">
        <v>0</v>
      </c>
      <c r="G53" s="448"/>
    </row>
    <row r="54" spans="1:7">
      <c r="A54" s="405" t="s">
        <v>114</v>
      </c>
      <c r="B54" s="428" t="s">
        <v>115</v>
      </c>
      <c r="C54" s="486">
        <v>2956055025.0000019</v>
      </c>
      <c r="D54" s="405"/>
      <c r="E54" s="446"/>
      <c r="F54" s="487">
        <v>1</v>
      </c>
      <c r="G54" s="448"/>
    </row>
    <row r="55" spans="1:7">
      <c r="A55" s="405" t="s">
        <v>116</v>
      </c>
      <c r="B55" s="428" t="s">
        <v>117</v>
      </c>
      <c r="C55" s="488">
        <v>0</v>
      </c>
      <c r="D55" s="405"/>
      <c r="E55" s="446"/>
      <c r="F55" s="487">
        <v>0</v>
      </c>
      <c r="G55" s="448"/>
    </row>
    <row r="56" spans="1:7">
      <c r="A56" s="405" t="s">
        <v>118</v>
      </c>
      <c r="B56" s="428" t="s">
        <v>119</v>
      </c>
      <c r="C56" s="439">
        <v>0</v>
      </c>
      <c r="D56" s="405"/>
      <c r="E56" s="446"/>
      <c r="F56" s="487">
        <v>0</v>
      </c>
      <c r="G56" s="448"/>
    </row>
    <row r="57" spans="1:7">
      <c r="A57" s="405" t="s">
        <v>120</v>
      </c>
      <c r="B57" s="405" t="s">
        <v>121</v>
      </c>
      <c r="C57" s="439">
        <v>0</v>
      </c>
      <c r="D57" s="405"/>
      <c r="E57" s="446"/>
      <c r="F57" s="487">
        <v>0</v>
      </c>
      <c r="G57" s="448"/>
    </row>
    <row r="58" spans="1:7">
      <c r="A58" s="405" t="s">
        <v>122</v>
      </c>
      <c r="B58" s="449" t="s">
        <v>123</v>
      </c>
      <c r="C58" s="437">
        <v>2956055025.0000019</v>
      </c>
      <c r="D58" s="446"/>
      <c r="E58" s="446"/>
      <c r="F58" s="487">
        <v>1</v>
      </c>
      <c r="G58" s="448"/>
    </row>
    <row r="59" spans="1:7">
      <c r="A59" s="405" t="s">
        <v>124</v>
      </c>
      <c r="B59" s="451" t="s">
        <v>125</v>
      </c>
      <c r="C59" s="439"/>
      <c r="D59" s="405"/>
      <c r="E59" s="446"/>
      <c r="F59" s="487">
        <v>0</v>
      </c>
      <c r="G59" s="448"/>
    </row>
    <row r="60" spans="1:7">
      <c r="A60" s="405" t="s">
        <v>126</v>
      </c>
      <c r="B60" s="451" t="s">
        <v>125</v>
      </c>
      <c r="C60" s="439"/>
      <c r="D60" s="405"/>
      <c r="E60" s="446"/>
      <c r="F60" s="487">
        <v>0</v>
      </c>
      <c r="G60" s="448"/>
    </row>
    <row r="61" spans="1:7">
      <c r="A61" s="405" t="s">
        <v>127</v>
      </c>
      <c r="B61" s="451" t="s">
        <v>125</v>
      </c>
      <c r="C61" s="439"/>
      <c r="D61" s="405"/>
      <c r="E61" s="446"/>
      <c r="F61" s="447">
        <v>0</v>
      </c>
      <c r="G61" s="448"/>
    </row>
    <row r="62" spans="1:7">
      <c r="A62" s="405" t="s">
        <v>128</v>
      </c>
      <c r="B62" s="451" t="s">
        <v>125</v>
      </c>
      <c r="C62" s="439"/>
      <c r="D62" s="405"/>
      <c r="E62" s="446"/>
      <c r="F62" s="447">
        <v>0</v>
      </c>
      <c r="G62" s="448"/>
    </row>
    <row r="63" spans="1:7">
      <c r="A63" s="405" t="s">
        <v>129</v>
      </c>
      <c r="B63" s="451" t="s">
        <v>125</v>
      </c>
      <c r="C63" s="439"/>
      <c r="D63" s="405"/>
      <c r="E63" s="446"/>
      <c r="F63" s="447">
        <v>0</v>
      </c>
      <c r="G63" s="448"/>
    </row>
    <row r="64" spans="1:7">
      <c r="A64" s="405" t="s">
        <v>130</v>
      </c>
      <c r="B64" s="451" t="s">
        <v>125</v>
      </c>
      <c r="C64" s="452"/>
      <c r="D64" s="453"/>
      <c r="E64" s="453"/>
      <c r="F64" s="447">
        <v>0</v>
      </c>
      <c r="G64" s="454"/>
    </row>
    <row r="65" spans="1:7">
      <c r="A65" s="436"/>
      <c r="B65" s="455" t="s">
        <v>19</v>
      </c>
      <c r="C65" s="456" t="s">
        <v>131</v>
      </c>
      <c r="D65" s="456" t="s">
        <v>132</v>
      </c>
      <c r="E65" s="457"/>
      <c r="F65" s="436" t="s">
        <v>133</v>
      </c>
      <c r="G65" s="458" t="s">
        <v>134</v>
      </c>
    </row>
    <row r="66" spans="1:7">
      <c r="A66" s="405" t="s">
        <v>135</v>
      </c>
      <c r="B66" s="428" t="s">
        <v>17</v>
      </c>
      <c r="C66" s="489">
        <v>16.078316787002191</v>
      </c>
      <c r="D66" s="459" t="s">
        <v>88</v>
      </c>
      <c r="E66" s="423"/>
      <c r="F66" s="483" t="s">
        <v>88</v>
      </c>
      <c r="G66" s="459" t="s">
        <v>88</v>
      </c>
    </row>
    <row r="67" spans="1:7">
      <c r="A67" s="405"/>
      <c r="B67" s="428"/>
      <c r="C67" s="492"/>
      <c r="D67" s="405"/>
      <c r="E67" s="423"/>
      <c r="F67" s="460"/>
    </row>
    <row r="68" spans="1:7">
      <c r="A68" s="405"/>
      <c r="B68" s="428" t="s">
        <v>18</v>
      </c>
      <c r="C68" s="494"/>
      <c r="D68" s="423"/>
      <c r="E68" s="423"/>
      <c r="F68" s="423"/>
      <c r="G68" s="423"/>
    </row>
    <row r="69" spans="1:7">
      <c r="A69" s="405"/>
      <c r="B69" s="428" t="s">
        <v>136</v>
      </c>
      <c r="C69" s="492"/>
      <c r="D69" s="405"/>
      <c r="E69" s="423"/>
      <c r="F69" s="423"/>
    </row>
    <row r="70" spans="1:7">
      <c r="A70" s="405" t="s">
        <v>137</v>
      </c>
      <c r="B70" s="428" t="s">
        <v>138</v>
      </c>
      <c r="C70" s="486">
        <v>84247648.389999971</v>
      </c>
      <c r="D70" s="439" t="s">
        <v>88</v>
      </c>
      <c r="E70" s="428"/>
      <c r="F70" s="447">
        <v>1.5515934419621985E-2</v>
      </c>
      <c r="G70" s="439" t="s">
        <v>88</v>
      </c>
    </row>
    <row r="71" spans="1:7">
      <c r="A71" s="405" t="s">
        <v>139</v>
      </c>
      <c r="B71" s="428" t="s">
        <v>140</v>
      </c>
      <c r="C71" s="486">
        <v>82457109.00000003</v>
      </c>
      <c r="D71" s="439" t="s">
        <v>88</v>
      </c>
      <c r="E71" s="428"/>
      <c r="F71" s="447">
        <v>8.5348166692830168E-3</v>
      </c>
      <c r="G71" s="439" t="s">
        <v>88</v>
      </c>
    </row>
    <row r="72" spans="1:7">
      <c r="A72" s="405" t="s">
        <v>141</v>
      </c>
      <c r="B72" s="428" t="s">
        <v>142</v>
      </c>
      <c r="C72" s="486">
        <v>20775111.900000002</v>
      </c>
      <c r="D72" s="439" t="s">
        <v>88</v>
      </c>
      <c r="E72" s="428"/>
      <c r="F72" s="447">
        <v>5.1717750809770037E-3</v>
      </c>
      <c r="G72" s="439" t="s">
        <v>88</v>
      </c>
    </row>
    <row r="73" spans="1:7">
      <c r="A73" s="405" t="s">
        <v>143</v>
      </c>
      <c r="B73" s="428" t="s">
        <v>144</v>
      </c>
      <c r="C73" s="486">
        <v>40498384.379999995</v>
      </c>
      <c r="D73" s="439" t="s">
        <v>88</v>
      </c>
      <c r="E73" s="428"/>
      <c r="F73" s="447">
        <v>5.3019912876344152E-3</v>
      </c>
      <c r="G73" s="439" t="s">
        <v>88</v>
      </c>
    </row>
    <row r="74" spans="1:7">
      <c r="A74" s="405" t="s">
        <v>145</v>
      </c>
      <c r="B74" s="428" t="s">
        <v>146</v>
      </c>
      <c r="C74" s="486">
        <v>60791798.520000003</v>
      </c>
      <c r="D74" s="439" t="s">
        <v>88</v>
      </c>
      <c r="E74" s="428"/>
      <c r="F74" s="447">
        <v>7.6365420904770907E-3</v>
      </c>
      <c r="G74" s="439" t="s">
        <v>88</v>
      </c>
    </row>
    <row r="75" spans="1:7">
      <c r="A75" s="405" t="s">
        <v>147</v>
      </c>
      <c r="B75" s="428" t="s">
        <v>148</v>
      </c>
      <c r="C75" s="486">
        <v>768232815.9799999</v>
      </c>
      <c r="D75" s="439" t="s">
        <v>88</v>
      </c>
      <c r="E75" s="428"/>
      <c r="F75" s="447">
        <v>5.734165679554503E-2</v>
      </c>
      <c r="G75" s="439" t="s">
        <v>88</v>
      </c>
    </row>
    <row r="76" spans="1:7">
      <c r="A76" s="405" t="s">
        <v>149</v>
      </c>
      <c r="B76" s="428" t="s">
        <v>150</v>
      </c>
      <c r="C76" s="486">
        <v>1899052156.8300014</v>
      </c>
      <c r="D76" s="439" t="s">
        <v>88</v>
      </c>
      <c r="E76" s="428"/>
      <c r="F76" s="447">
        <v>0.90049728365646153</v>
      </c>
      <c r="G76" s="439" t="s">
        <v>88</v>
      </c>
    </row>
    <row r="77" spans="1:7">
      <c r="A77" s="405" t="s">
        <v>151</v>
      </c>
      <c r="B77" s="449" t="s">
        <v>123</v>
      </c>
      <c r="C77" s="486">
        <v>2956055025.000001</v>
      </c>
      <c r="D77" s="439" t="s">
        <v>88</v>
      </c>
      <c r="E77" s="428"/>
      <c r="F77" s="450">
        <v>1</v>
      </c>
      <c r="G77" s="439" t="s">
        <v>88</v>
      </c>
    </row>
    <row r="78" spans="1:7">
      <c r="A78" s="405" t="s">
        <v>152</v>
      </c>
      <c r="B78" s="462" t="s">
        <v>153</v>
      </c>
      <c r="C78" s="495"/>
      <c r="D78" s="461"/>
      <c r="E78" s="428"/>
      <c r="F78" s="447"/>
      <c r="G78" s="439"/>
    </row>
    <row r="79" spans="1:7">
      <c r="A79" s="405" t="s">
        <v>155</v>
      </c>
      <c r="B79" s="462" t="s">
        <v>156</v>
      </c>
      <c r="C79" s="495"/>
      <c r="D79" s="461"/>
      <c r="E79" s="428"/>
      <c r="F79" s="447"/>
      <c r="G79" s="447" t="s">
        <v>154</v>
      </c>
    </row>
    <row r="80" spans="1:7">
      <c r="A80" s="405" t="s">
        <v>157</v>
      </c>
      <c r="B80" s="462" t="s">
        <v>158</v>
      </c>
      <c r="C80" s="461"/>
      <c r="D80" s="461"/>
      <c r="E80" s="428"/>
      <c r="F80" s="447"/>
      <c r="G80" s="447" t="s">
        <v>154</v>
      </c>
    </row>
    <row r="81" spans="1:7">
      <c r="A81" s="405" t="s">
        <v>159</v>
      </c>
      <c r="B81" s="462" t="s">
        <v>160</v>
      </c>
      <c r="C81" s="461"/>
      <c r="D81" s="461"/>
      <c r="E81" s="428"/>
      <c r="F81" s="447"/>
      <c r="G81" s="447" t="s">
        <v>154</v>
      </c>
    </row>
    <row r="82" spans="1:7">
      <c r="A82" s="405" t="s">
        <v>161</v>
      </c>
      <c r="B82" s="462" t="s">
        <v>162</v>
      </c>
      <c r="C82" s="461"/>
      <c r="D82" s="461"/>
      <c r="E82" s="428"/>
      <c r="F82" s="447"/>
      <c r="G82" s="447" t="s">
        <v>154</v>
      </c>
    </row>
    <row r="83" spans="1:7">
      <c r="A83" s="405" t="s">
        <v>163</v>
      </c>
      <c r="B83" s="462"/>
      <c r="C83" s="446"/>
      <c r="D83" s="446"/>
      <c r="E83" s="428"/>
      <c r="F83" s="448"/>
      <c r="G83" s="448"/>
    </row>
    <row r="84" spans="1:7">
      <c r="A84" s="405" t="s">
        <v>164</v>
      </c>
      <c r="B84" s="462"/>
      <c r="C84" s="446"/>
      <c r="D84" s="446"/>
      <c r="E84" s="428"/>
      <c r="F84" s="448"/>
      <c r="G84" s="448"/>
    </row>
    <row r="85" spans="1:7">
      <c r="A85" s="405" t="s">
        <v>165</v>
      </c>
      <c r="B85" s="462"/>
      <c r="C85" s="446"/>
      <c r="D85" s="446"/>
      <c r="E85" s="428"/>
      <c r="F85" s="448"/>
      <c r="G85" s="448"/>
    </row>
    <row r="86" spans="1:7">
      <c r="A86" s="405" t="s">
        <v>166</v>
      </c>
      <c r="B86" s="449"/>
      <c r="C86" s="446"/>
      <c r="D86" s="446"/>
      <c r="E86" s="428"/>
      <c r="F86" s="448"/>
      <c r="G86" s="448" t="s">
        <v>154</v>
      </c>
    </row>
    <row r="87" spans="1:7">
      <c r="A87" s="405" t="s">
        <v>167</v>
      </c>
      <c r="B87" s="462"/>
      <c r="C87" s="446"/>
      <c r="D87" s="446"/>
      <c r="E87" s="428"/>
      <c r="F87" s="448"/>
      <c r="G87" s="448" t="s">
        <v>154</v>
      </c>
    </row>
    <row r="88" spans="1:7">
      <c r="A88" s="436"/>
      <c r="B88" s="455" t="s">
        <v>21</v>
      </c>
      <c r="C88" s="456" t="s">
        <v>168</v>
      </c>
      <c r="D88" s="456" t="s">
        <v>169</v>
      </c>
      <c r="E88" s="457"/>
      <c r="F88" s="436" t="s">
        <v>170</v>
      </c>
      <c r="G88" s="436" t="s">
        <v>171</v>
      </c>
    </row>
    <row r="89" spans="1:7">
      <c r="A89" s="405" t="s">
        <v>172</v>
      </c>
      <c r="B89" s="428" t="s">
        <v>173</v>
      </c>
      <c r="C89" s="489">
        <v>4.8828541001064982</v>
      </c>
      <c r="D89" s="459" t="s">
        <v>88</v>
      </c>
      <c r="E89" s="423"/>
      <c r="F89" s="460"/>
      <c r="G89" s="463"/>
    </row>
    <row r="90" spans="1:7">
      <c r="A90" s="405"/>
      <c r="B90" s="428"/>
      <c r="C90" s="489"/>
      <c r="D90" s="459"/>
      <c r="E90" s="423"/>
      <c r="F90" s="464"/>
      <c r="G90" s="463"/>
    </row>
    <row r="91" spans="1:7">
      <c r="A91" s="405"/>
      <c r="B91" s="428" t="s">
        <v>20</v>
      </c>
      <c r="C91" s="490"/>
      <c r="D91" s="465"/>
      <c r="E91" s="423"/>
      <c r="F91" s="463"/>
      <c r="G91" s="463"/>
    </row>
    <row r="92" spans="1:7">
      <c r="A92" s="405" t="s">
        <v>174</v>
      </c>
      <c r="B92" s="428" t="s">
        <v>136</v>
      </c>
      <c r="C92" s="489"/>
      <c r="D92" s="459"/>
      <c r="E92" s="423"/>
      <c r="F92" s="463"/>
      <c r="G92" s="463"/>
    </row>
    <row r="93" spans="1:7">
      <c r="A93" s="405" t="s">
        <v>175</v>
      </c>
      <c r="B93" s="428" t="s">
        <v>138</v>
      </c>
      <c r="C93" s="486">
        <v>10000000</v>
      </c>
      <c r="D93" s="439" t="s">
        <v>88</v>
      </c>
      <c r="E93" s="428"/>
      <c r="F93" s="447">
        <v>6.3897763578274758E-3</v>
      </c>
      <c r="G93" s="439" t="s">
        <v>88</v>
      </c>
    </row>
    <row r="94" spans="1:7">
      <c r="A94" s="405" t="s">
        <v>176</v>
      </c>
      <c r="B94" s="428" t="s">
        <v>140</v>
      </c>
      <c r="C94" s="486">
        <v>150000000</v>
      </c>
      <c r="D94" s="439" t="s">
        <v>88</v>
      </c>
      <c r="E94" s="428"/>
      <c r="F94" s="447">
        <v>9.5846645367412137E-2</v>
      </c>
      <c r="G94" s="439" t="s">
        <v>88</v>
      </c>
    </row>
    <row r="95" spans="1:7">
      <c r="A95" s="405" t="s">
        <v>177</v>
      </c>
      <c r="B95" s="428" t="s">
        <v>142</v>
      </c>
      <c r="C95" s="486">
        <v>580000000</v>
      </c>
      <c r="D95" s="439" t="s">
        <v>88</v>
      </c>
      <c r="E95" s="428"/>
      <c r="F95" s="447">
        <v>0.37060702875399359</v>
      </c>
      <c r="G95" s="439" t="s">
        <v>88</v>
      </c>
    </row>
    <row r="96" spans="1:7">
      <c r="A96" s="405" t="s">
        <v>178</v>
      </c>
      <c r="B96" s="428" t="s">
        <v>144</v>
      </c>
      <c r="C96" s="486">
        <v>15000000</v>
      </c>
      <c r="D96" s="439" t="s">
        <v>88</v>
      </c>
      <c r="E96" s="428"/>
      <c r="F96" s="447">
        <v>9.5846645367412137E-3</v>
      </c>
      <c r="G96" s="439" t="s">
        <v>88</v>
      </c>
    </row>
    <row r="97" spans="1:7">
      <c r="A97" s="405" t="s">
        <v>179</v>
      </c>
      <c r="B97" s="428" t="s">
        <v>146</v>
      </c>
      <c r="C97" s="486">
        <v>5000000</v>
      </c>
      <c r="D97" s="439" t="s">
        <v>88</v>
      </c>
      <c r="E97" s="428"/>
      <c r="F97" s="447">
        <v>3.1948881789137379E-3</v>
      </c>
      <c r="G97" s="439" t="s">
        <v>88</v>
      </c>
    </row>
    <row r="98" spans="1:7">
      <c r="A98" s="405" t="s">
        <v>180</v>
      </c>
      <c r="B98" s="428" t="s">
        <v>148</v>
      </c>
      <c r="C98" s="486">
        <v>780000000</v>
      </c>
      <c r="D98" s="439" t="s">
        <v>88</v>
      </c>
      <c r="E98" s="428"/>
      <c r="F98" s="447">
        <v>0.49840255591054311</v>
      </c>
      <c r="G98" s="439" t="s">
        <v>88</v>
      </c>
    </row>
    <row r="99" spans="1:7">
      <c r="A99" s="405" t="s">
        <v>181</v>
      </c>
      <c r="B99" s="428" t="s">
        <v>150</v>
      </c>
      <c r="C99" s="486">
        <v>25000000</v>
      </c>
      <c r="D99" s="439" t="s">
        <v>88</v>
      </c>
      <c r="E99" s="428"/>
      <c r="F99" s="447">
        <v>1.5974440894568689E-2</v>
      </c>
      <c r="G99" s="439" t="s">
        <v>88</v>
      </c>
    </row>
    <row r="100" spans="1:7">
      <c r="A100" s="405" t="s">
        <v>182</v>
      </c>
      <c r="B100" s="449" t="s">
        <v>123</v>
      </c>
      <c r="C100" s="486">
        <v>1565000000</v>
      </c>
      <c r="D100" s="439" t="s">
        <v>88</v>
      </c>
      <c r="E100" s="428"/>
      <c r="F100" s="447">
        <v>1</v>
      </c>
      <c r="G100" s="439" t="s">
        <v>88</v>
      </c>
    </row>
    <row r="101" spans="1:7">
      <c r="A101" s="405" t="s">
        <v>183</v>
      </c>
      <c r="B101" s="462" t="s">
        <v>153</v>
      </c>
      <c r="C101" s="461"/>
      <c r="D101" s="461"/>
      <c r="E101" s="428"/>
      <c r="F101" s="447">
        <v>0</v>
      </c>
      <c r="G101" s="447" t="s">
        <v>154</v>
      </c>
    </row>
    <row r="102" spans="1:7">
      <c r="A102" s="405" t="s">
        <v>184</v>
      </c>
      <c r="B102" s="462" t="s">
        <v>156</v>
      </c>
      <c r="C102" s="461"/>
      <c r="D102" s="461"/>
      <c r="E102" s="428"/>
      <c r="F102" s="447">
        <v>0</v>
      </c>
      <c r="G102" s="447" t="s">
        <v>154</v>
      </c>
    </row>
    <row r="103" spans="1:7">
      <c r="A103" s="405" t="s">
        <v>185</v>
      </c>
      <c r="B103" s="462" t="s">
        <v>158</v>
      </c>
      <c r="C103" s="461"/>
      <c r="D103" s="461"/>
      <c r="E103" s="428"/>
      <c r="F103" s="447">
        <v>0</v>
      </c>
      <c r="G103" s="447" t="s">
        <v>154</v>
      </c>
    </row>
    <row r="104" spans="1:7">
      <c r="A104" s="405" t="s">
        <v>186</v>
      </c>
      <c r="B104" s="462" t="s">
        <v>160</v>
      </c>
      <c r="C104" s="461"/>
      <c r="D104" s="461"/>
      <c r="E104" s="428"/>
      <c r="F104" s="447">
        <v>0</v>
      </c>
      <c r="G104" s="447" t="s">
        <v>154</v>
      </c>
    </row>
    <row r="105" spans="1:7">
      <c r="A105" s="405" t="s">
        <v>187</v>
      </c>
      <c r="B105" s="462" t="s">
        <v>162</v>
      </c>
      <c r="C105" s="461"/>
      <c r="D105" s="461"/>
      <c r="E105" s="428"/>
      <c r="F105" s="447">
        <v>0</v>
      </c>
      <c r="G105" s="447" t="s">
        <v>154</v>
      </c>
    </row>
    <row r="106" spans="1:7">
      <c r="A106" s="405" t="s">
        <v>188</v>
      </c>
      <c r="B106" s="462"/>
      <c r="C106" s="446"/>
      <c r="D106" s="446"/>
      <c r="E106" s="428"/>
      <c r="F106" s="448"/>
      <c r="G106" s="448"/>
    </row>
    <row r="107" spans="1:7">
      <c r="A107" s="405" t="s">
        <v>189</v>
      </c>
      <c r="B107" s="462"/>
      <c r="C107" s="446"/>
      <c r="D107" s="446"/>
      <c r="E107" s="428"/>
      <c r="F107" s="448"/>
      <c r="G107" s="448"/>
    </row>
    <row r="108" spans="1:7">
      <c r="A108" s="405" t="s">
        <v>190</v>
      </c>
      <c r="B108" s="449"/>
      <c r="C108" s="446"/>
      <c r="D108" s="446"/>
      <c r="E108" s="428"/>
      <c r="F108" s="448"/>
      <c r="G108" s="448"/>
    </row>
    <row r="109" spans="1:7">
      <c r="A109" s="405" t="s">
        <v>191</v>
      </c>
      <c r="B109" s="462"/>
      <c r="C109" s="446"/>
      <c r="D109" s="446"/>
      <c r="E109" s="428"/>
      <c r="F109" s="448"/>
      <c r="G109" s="448"/>
    </row>
    <row r="110" spans="1:7">
      <c r="A110" s="405" t="s">
        <v>192</v>
      </c>
      <c r="B110" s="462"/>
      <c r="C110" s="446"/>
      <c r="D110" s="446"/>
      <c r="E110" s="428"/>
      <c r="F110" s="448"/>
      <c r="G110" s="448"/>
    </row>
    <row r="111" spans="1:7">
      <c r="A111" s="436"/>
      <c r="B111" s="466" t="s">
        <v>22</v>
      </c>
      <c r="C111" s="436" t="s">
        <v>193</v>
      </c>
      <c r="D111" s="436" t="s">
        <v>194</v>
      </c>
      <c r="E111" s="457"/>
      <c r="F111" s="436" t="s">
        <v>195</v>
      </c>
      <c r="G111" s="436" t="s">
        <v>196</v>
      </c>
    </row>
    <row r="112" spans="1:7">
      <c r="A112" s="405" t="s">
        <v>197</v>
      </c>
      <c r="B112" s="428" t="s">
        <v>37</v>
      </c>
      <c r="C112" s="486">
        <v>2891563798.9100003</v>
      </c>
      <c r="D112" s="439" t="s">
        <v>198</v>
      </c>
      <c r="E112" s="448"/>
      <c r="F112" s="447">
        <v>0.97818334721627853</v>
      </c>
      <c r="G112" s="447" t="s">
        <v>154</v>
      </c>
    </row>
    <row r="113" spans="1:7">
      <c r="A113" s="405" t="s">
        <v>199</v>
      </c>
      <c r="B113" s="428" t="s">
        <v>200</v>
      </c>
      <c r="C113" s="486"/>
      <c r="D113" s="439" t="s">
        <v>198</v>
      </c>
      <c r="E113" s="448"/>
      <c r="F113" s="447">
        <v>0</v>
      </c>
      <c r="G113" s="447" t="s">
        <v>154</v>
      </c>
    </row>
    <row r="114" spans="1:7">
      <c r="A114" s="405" t="s">
        <v>201</v>
      </c>
      <c r="B114" s="428" t="s">
        <v>202</v>
      </c>
      <c r="C114" s="486"/>
      <c r="D114" s="439" t="s">
        <v>198</v>
      </c>
      <c r="E114" s="448"/>
      <c r="F114" s="447">
        <v>0</v>
      </c>
      <c r="G114" s="447" t="s">
        <v>154</v>
      </c>
    </row>
    <row r="115" spans="1:7">
      <c r="A115" s="405" t="s">
        <v>203</v>
      </c>
      <c r="B115" s="428" t="s">
        <v>204</v>
      </c>
      <c r="C115" s="486"/>
      <c r="D115" s="439" t="s">
        <v>198</v>
      </c>
      <c r="E115" s="448"/>
      <c r="F115" s="447">
        <v>0</v>
      </c>
      <c r="G115" s="447" t="s">
        <v>154</v>
      </c>
    </row>
    <row r="116" spans="1:7">
      <c r="A116" s="405" t="s">
        <v>205</v>
      </c>
      <c r="B116" s="428" t="s">
        <v>206</v>
      </c>
      <c r="C116" s="486">
        <v>64491226.089999959</v>
      </c>
      <c r="D116" s="439" t="s">
        <v>198</v>
      </c>
      <c r="E116" s="448"/>
      <c r="F116" s="447">
        <v>2.1816652783721423E-2</v>
      </c>
      <c r="G116" s="447" t="s">
        <v>154</v>
      </c>
    </row>
    <row r="117" spans="1:7">
      <c r="A117" s="405" t="s">
        <v>207</v>
      </c>
      <c r="B117" s="428" t="s">
        <v>208</v>
      </c>
      <c r="C117" s="486"/>
      <c r="D117" s="439" t="s">
        <v>198</v>
      </c>
      <c r="E117" s="428"/>
      <c r="F117" s="447">
        <v>0</v>
      </c>
      <c r="G117" s="447" t="s">
        <v>154</v>
      </c>
    </row>
    <row r="118" spans="1:7">
      <c r="A118" s="405" t="s">
        <v>209</v>
      </c>
      <c r="B118" s="428" t="s">
        <v>210</v>
      </c>
      <c r="C118" s="486"/>
      <c r="D118" s="439" t="s">
        <v>198</v>
      </c>
      <c r="E118" s="428"/>
      <c r="F118" s="447">
        <v>0</v>
      </c>
      <c r="G118" s="447" t="s">
        <v>154</v>
      </c>
    </row>
    <row r="119" spans="1:7">
      <c r="A119" s="405" t="s">
        <v>211</v>
      </c>
      <c r="B119" s="428" t="s">
        <v>212</v>
      </c>
      <c r="C119" s="486"/>
      <c r="D119" s="439" t="s">
        <v>198</v>
      </c>
      <c r="E119" s="428"/>
      <c r="F119" s="447">
        <v>0</v>
      </c>
      <c r="G119" s="447" t="s">
        <v>154</v>
      </c>
    </row>
    <row r="120" spans="1:7">
      <c r="A120" s="405" t="s">
        <v>213</v>
      </c>
      <c r="B120" s="428" t="s">
        <v>214</v>
      </c>
      <c r="C120" s="486"/>
      <c r="D120" s="439" t="s">
        <v>198</v>
      </c>
      <c r="E120" s="428"/>
      <c r="F120" s="447">
        <v>0</v>
      </c>
      <c r="G120" s="447" t="s">
        <v>154</v>
      </c>
    </row>
    <row r="121" spans="1:7">
      <c r="A121" s="405" t="s">
        <v>215</v>
      </c>
      <c r="B121" s="428" t="s">
        <v>216</v>
      </c>
      <c r="C121" s="486"/>
      <c r="D121" s="439" t="s">
        <v>198</v>
      </c>
      <c r="E121" s="428"/>
      <c r="F121" s="447">
        <v>0</v>
      </c>
      <c r="G121" s="447" t="s">
        <v>154</v>
      </c>
    </row>
    <row r="122" spans="1:7">
      <c r="A122" s="405" t="s">
        <v>217</v>
      </c>
      <c r="B122" s="428" t="s">
        <v>218</v>
      </c>
      <c r="C122" s="486"/>
      <c r="D122" s="439" t="s">
        <v>198</v>
      </c>
      <c r="E122" s="428"/>
      <c r="F122" s="447">
        <v>0</v>
      </c>
      <c r="G122" s="447" t="s">
        <v>154</v>
      </c>
    </row>
    <row r="123" spans="1:7">
      <c r="A123" s="405" t="s">
        <v>219</v>
      </c>
      <c r="B123" s="428" t="s">
        <v>220</v>
      </c>
      <c r="C123" s="486"/>
      <c r="D123" s="439" t="s">
        <v>198</v>
      </c>
      <c r="E123" s="428"/>
      <c r="F123" s="447">
        <v>0</v>
      </c>
      <c r="G123" s="447" t="s">
        <v>154</v>
      </c>
    </row>
    <row r="124" spans="1:7">
      <c r="A124" s="405" t="s">
        <v>221</v>
      </c>
      <c r="B124" s="428" t="s">
        <v>222</v>
      </c>
      <c r="C124" s="486"/>
      <c r="D124" s="439" t="s">
        <v>198</v>
      </c>
      <c r="E124" s="428"/>
      <c r="F124" s="447">
        <v>0</v>
      </c>
      <c r="G124" s="447" t="s">
        <v>154</v>
      </c>
    </row>
    <row r="125" spans="1:7">
      <c r="A125" s="405" t="s">
        <v>223</v>
      </c>
      <c r="B125" s="428" t="s">
        <v>224</v>
      </c>
      <c r="C125" s="486"/>
      <c r="D125" s="439" t="s">
        <v>198</v>
      </c>
      <c r="E125" s="428"/>
      <c r="F125" s="447">
        <v>0</v>
      </c>
      <c r="G125" s="447" t="s">
        <v>154</v>
      </c>
    </row>
    <row r="126" spans="1:7">
      <c r="A126" s="405" t="s">
        <v>225</v>
      </c>
      <c r="B126" s="428" t="s">
        <v>226</v>
      </c>
      <c r="C126" s="486"/>
      <c r="D126" s="439" t="s">
        <v>198</v>
      </c>
      <c r="E126" s="428"/>
      <c r="F126" s="447">
        <v>0</v>
      </c>
      <c r="G126" s="447" t="s">
        <v>154</v>
      </c>
    </row>
    <row r="127" spans="1:7">
      <c r="A127" s="405" t="s">
        <v>227</v>
      </c>
      <c r="B127" s="428" t="s">
        <v>228</v>
      </c>
      <c r="C127" s="486"/>
      <c r="D127" s="439" t="s">
        <v>198</v>
      </c>
      <c r="E127" s="428"/>
      <c r="F127" s="447">
        <v>0</v>
      </c>
      <c r="G127" s="447" t="s">
        <v>154</v>
      </c>
    </row>
    <row r="128" spans="1:7">
      <c r="A128" s="405" t="s">
        <v>229</v>
      </c>
      <c r="B128" s="428" t="s">
        <v>121</v>
      </c>
      <c r="C128" s="486"/>
      <c r="D128" s="439" t="s">
        <v>198</v>
      </c>
      <c r="E128" s="428"/>
      <c r="F128" s="447">
        <v>0</v>
      </c>
      <c r="G128" s="447" t="s">
        <v>154</v>
      </c>
    </row>
    <row r="129" spans="1:7">
      <c r="A129" s="405" t="s">
        <v>230</v>
      </c>
      <c r="B129" s="482" t="s">
        <v>123</v>
      </c>
      <c r="C129" s="486">
        <v>2956055025.0000005</v>
      </c>
      <c r="D129" s="439" t="s">
        <v>198</v>
      </c>
      <c r="E129" s="428"/>
      <c r="F129" s="447">
        <v>1</v>
      </c>
      <c r="G129" s="442"/>
    </row>
    <row r="130" spans="1:7">
      <c r="A130" s="405" t="s">
        <v>231</v>
      </c>
      <c r="B130" s="451" t="s">
        <v>125</v>
      </c>
      <c r="C130" s="439"/>
      <c r="D130" s="439"/>
      <c r="E130" s="428"/>
      <c r="F130" s="447" t="s">
        <v>154</v>
      </c>
      <c r="G130" s="447" t="s">
        <v>154</v>
      </c>
    </row>
    <row r="131" spans="1:7">
      <c r="A131" s="405" t="s">
        <v>232</v>
      </c>
      <c r="B131" s="451" t="s">
        <v>125</v>
      </c>
      <c r="C131" s="439"/>
      <c r="D131" s="439"/>
      <c r="E131" s="428"/>
      <c r="F131" s="447">
        <v>0</v>
      </c>
      <c r="G131" s="447" t="s">
        <v>154</v>
      </c>
    </row>
    <row r="132" spans="1:7">
      <c r="A132" s="405" t="s">
        <v>233</v>
      </c>
      <c r="B132" s="451" t="s">
        <v>125</v>
      </c>
      <c r="C132" s="439"/>
      <c r="D132" s="439"/>
      <c r="E132" s="428"/>
      <c r="F132" s="447">
        <v>0</v>
      </c>
      <c r="G132" s="447" t="s">
        <v>154</v>
      </c>
    </row>
    <row r="133" spans="1:7">
      <c r="A133" s="405" t="s">
        <v>234</v>
      </c>
      <c r="B133" s="451" t="s">
        <v>125</v>
      </c>
      <c r="C133" s="439"/>
      <c r="D133" s="439"/>
      <c r="E133" s="428"/>
      <c r="F133" s="447">
        <v>0</v>
      </c>
      <c r="G133" s="447" t="s">
        <v>154</v>
      </c>
    </row>
    <row r="134" spans="1:7">
      <c r="A134" s="405" t="s">
        <v>235</v>
      </c>
      <c r="B134" s="451" t="s">
        <v>125</v>
      </c>
      <c r="C134" s="439"/>
      <c r="D134" s="439"/>
      <c r="E134" s="428"/>
      <c r="F134" s="447">
        <v>0</v>
      </c>
      <c r="G134" s="447" t="s">
        <v>154</v>
      </c>
    </row>
    <row r="135" spans="1:7">
      <c r="A135" s="405" t="s">
        <v>236</v>
      </c>
      <c r="B135" s="451" t="s">
        <v>125</v>
      </c>
      <c r="C135" s="439"/>
      <c r="D135" s="439"/>
      <c r="E135" s="428"/>
      <c r="F135" s="447">
        <v>0</v>
      </c>
      <c r="G135" s="447" t="s">
        <v>154</v>
      </c>
    </row>
    <row r="136" spans="1:7">
      <c r="A136" s="405" t="s">
        <v>237</v>
      </c>
      <c r="B136" s="451" t="s">
        <v>125</v>
      </c>
      <c r="C136" s="439"/>
      <c r="D136" s="439"/>
      <c r="E136" s="428"/>
      <c r="F136" s="447">
        <v>0</v>
      </c>
      <c r="G136" s="447" t="s">
        <v>154</v>
      </c>
    </row>
    <row r="137" spans="1:7">
      <c r="A137" s="436"/>
      <c r="B137" s="455" t="s">
        <v>23</v>
      </c>
      <c r="C137" s="436" t="s">
        <v>193</v>
      </c>
      <c r="D137" s="436" t="s">
        <v>194</v>
      </c>
      <c r="E137" s="457"/>
      <c r="F137" s="436" t="s">
        <v>195</v>
      </c>
      <c r="G137" s="436" t="s">
        <v>196</v>
      </c>
    </row>
    <row r="138" spans="1:7">
      <c r="A138" s="405" t="s">
        <v>238</v>
      </c>
      <c r="B138" s="428" t="s">
        <v>37</v>
      </c>
      <c r="C138" s="486">
        <v>1565000000</v>
      </c>
      <c r="D138" s="439" t="s">
        <v>198</v>
      </c>
      <c r="E138" s="448"/>
      <c r="F138" s="447">
        <v>0.99999990351438628</v>
      </c>
      <c r="G138" s="447" t="s">
        <v>154</v>
      </c>
    </row>
    <row r="139" spans="1:7">
      <c r="A139" s="405" t="s">
        <v>239</v>
      </c>
      <c r="B139" s="428" t="s">
        <v>200</v>
      </c>
      <c r="C139" s="486"/>
      <c r="D139" s="439" t="s">
        <v>198</v>
      </c>
      <c r="E139" s="448"/>
      <c r="F139" s="447">
        <v>0</v>
      </c>
      <c r="G139" s="447" t="s">
        <v>154</v>
      </c>
    </row>
    <row r="140" spans="1:7">
      <c r="A140" s="405" t="s">
        <v>240</v>
      </c>
      <c r="B140" s="428" t="s">
        <v>202</v>
      </c>
      <c r="C140" s="486"/>
      <c r="D140" s="439" t="s">
        <v>198</v>
      </c>
      <c r="E140" s="448"/>
      <c r="F140" s="447">
        <v>0</v>
      </c>
      <c r="G140" s="447" t="s">
        <v>154</v>
      </c>
    </row>
    <row r="141" spans="1:7">
      <c r="A141" s="405" t="s">
        <v>241</v>
      </c>
      <c r="B141" s="428" t="s">
        <v>204</v>
      </c>
      <c r="C141" s="486"/>
      <c r="D141" s="439" t="s">
        <v>198</v>
      </c>
      <c r="E141" s="448"/>
      <c r="F141" s="447">
        <v>0</v>
      </c>
      <c r="G141" s="447" t="s">
        <v>154</v>
      </c>
    </row>
    <row r="142" spans="1:7">
      <c r="A142" s="405" t="s">
        <v>242</v>
      </c>
      <c r="B142" s="428" t="s">
        <v>206</v>
      </c>
      <c r="C142" s="486"/>
      <c r="D142" s="439" t="s">
        <v>198</v>
      </c>
      <c r="E142" s="448"/>
      <c r="F142" s="447">
        <v>0</v>
      </c>
      <c r="G142" s="447" t="s">
        <v>154</v>
      </c>
    </row>
    <row r="143" spans="1:7">
      <c r="A143" s="405" t="s">
        <v>243</v>
      </c>
      <c r="B143" s="428" t="s">
        <v>208</v>
      </c>
      <c r="C143" s="486"/>
      <c r="D143" s="439" t="s">
        <v>198</v>
      </c>
      <c r="E143" s="428"/>
      <c r="F143" s="447">
        <v>0</v>
      </c>
      <c r="G143" s="447" t="s">
        <v>154</v>
      </c>
    </row>
    <row r="144" spans="1:7">
      <c r="A144" s="405" t="s">
        <v>244</v>
      </c>
      <c r="B144" s="428" t="s">
        <v>210</v>
      </c>
      <c r="C144" s="486"/>
      <c r="D144" s="439" t="s">
        <v>198</v>
      </c>
      <c r="E144" s="428"/>
      <c r="F144" s="447">
        <v>0</v>
      </c>
      <c r="G144" s="447" t="s">
        <v>154</v>
      </c>
    </row>
    <row r="145" spans="1:7">
      <c r="A145" s="405" t="s">
        <v>245</v>
      </c>
      <c r="B145" s="428" t="s">
        <v>212</v>
      </c>
      <c r="C145" s="486"/>
      <c r="D145" s="439" t="s">
        <v>198</v>
      </c>
      <c r="E145" s="428"/>
      <c r="F145" s="447">
        <v>0</v>
      </c>
      <c r="G145" s="447" t="s">
        <v>154</v>
      </c>
    </row>
    <row r="146" spans="1:7">
      <c r="A146" s="405" t="s">
        <v>246</v>
      </c>
      <c r="B146" s="428" t="s">
        <v>214</v>
      </c>
      <c r="C146" s="486"/>
      <c r="D146" s="439" t="s">
        <v>198</v>
      </c>
      <c r="E146" s="428"/>
      <c r="F146" s="447">
        <v>0</v>
      </c>
      <c r="G146" s="447" t="s">
        <v>154</v>
      </c>
    </row>
    <row r="147" spans="1:7">
      <c r="A147" s="405" t="s">
        <v>247</v>
      </c>
      <c r="B147" s="428" t="s">
        <v>216</v>
      </c>
      <c r="C147" s="486"/>
      <c r="D147" s="439" t="s">
        <v>198</v>
      </c>
      <c r="E147" s="428"/>
      <c r="F147" s="447">
        <v>0</v>
      </c>
      <c r="G147" s="447" t="s">
        <v>154</v>
      </c>
    </row>
    <row r="148" spans="1:7">
      <c r="A148" s="405" t="s">
        <v>248</v>
      </c>
      <c r="B148" s="428" t="s">
        <v>218</v>
      </c>
      <c r="C148" s="486"/>
      <c r="D148" s="439" t="s">
        <v>198</v>
      </c>
      <c r="E148" s="428"/>
      <c r="F148" s="447">
        <v>0</v>
      </c>
      <c r="G148" s="447" t="s">
        <v>154</v>
      </c>
    </row>
    <row r="149" spans="1:7">
      <c r="A149" s="405" t="s">
        <v>249</v>
      </c>
      <c r="B149" s="428" t="s">
        <v>220</v>
      </c>
      <c r="C149" s="486"/>
      <c r="D149" s="439" t="s">
        <v>198</v>
      </c>
      <c r="E149" s="428"/>
      <c r="F149" s="447">
        <v>0</v>
      </c>
      <c r="G149" s="447" t="s">
        <v>154</v>
      </c>
    </row>
    <row r="150" spans="1:7">
      <c r="A150" s="405" t="s">
        <v>250</v>
      </c>
      <c r="B150" s="428" t="s">
        <v>222</v>
      </c>
      <c r="C150" s="486"/>
      <c r="D150" s="439" t="s">
        <v>198</v>
      </c>
      <c r="E150" s="428"/>
      <c r="F150" s="447">
        <v>0</v>
      </c>
      <c r="G150" s="447" t="s">
        <v>154</v>
      </c>
    </row>
    <row r="151" spans="1:7">
      <c r="A151" s="405" t="s">
        <v>251</v>
      </c>
      <c r="B151" s="428" t="s">
        <v>224</v>
      </c>
      <c r="C151" s="486"/>
      <c r="D151" s="439" t="s">
        <v>198</v>
      </c>
      <c r="E151" s="428"/>
      <c r="F151" s="447">
        <v>0</v>
      </c>
      <c r="G151" s="447" t="s">
        <v>154</v>
      </c>
    </row>
    <row r="152" spans="1:7">
      <c r="A152" s="405" t="s">
        <v>252</v>
      </c>
      <c r="B152" s="428" t="s">
        <v>226</v>
      </c>
      <c r="C152" s="486"/>
      <c r="D152" s="439" t="s">
        <v>198</v>
      </c>
      <c r="E152" s="428"/>
      <c r="F152" s="447">
        <v>0</v>
      </c>
      <c r="G152" s="447" t="s">
        <v>154</v>
      </c>
    </row>
    <row r="153" spans="1:7">
      <c r="A153" s="405" t="s">
        <v>253</v>
      </c>
      <c r="B153" s="428" t="s">
        <v>228</v>
      </c>
      <c r="C153" s="486"/>
      <c r="D153" s="439" t="s">
        <v>198</v>
      </c>
      <c r="E153" s="428"/>
      <c r="F153" s="447">
        <v>0</v>
      </c>
      <c r="G153" s="447" t="s">
        <v>154</v>
      </c>
    </row>
    <row r="154" spans="1:7">
      <c r="A154" s="405" t="s">
        <v>254</v>
      </c>
      <c r="B154" s="428" t="s">
        <v>121</v>
      </c>
      <c r="C154" s="486"/>
      <c r="D154" s="439" t="s">
        <v>198</v>
      </c>
      <c r="E154" s="428"/>
      <c r="F154" s="447">
        <v>0</v>
      </c>
      <c r="G154" s="447" t="s">
        <v>154</v>
      </c>
    </row>
    <row r="155" spans="1:7">
      <c r="A155" s="405" t="s">
        <v>255</v>
      </c>
      <c r="B155" s="449" t="s">
        <v>123</v>
      </c>
      <c r="C155" s="486">
        <v>1565000151</v>
      </c>
      <c r="D155" s="439" t="s">
        <v>198</v>
      </c>
      <c r="E155" s="428"/>
      <c r="F155" s="447">
        <v>1</v>
      </c>
      <c r="G155" s="442"/>
    </row>
    <row r="156" spans="1:7">
      <c r="A156" s="405" t="s">
        <v>256</v>
      </c>
      <c r="B156" s="451" t="s">
        <v>125</v>
      </c>
      <c r="C156" s="488"/>
      <c r="D156" s="439"/>
      <c r="E156" s="428"/>
      <c r="F156" s="447" t="s">
        <v>154</v>
      </c>
      <c r="G156" s="447" t="s">
        <v>154</v>
      </c>
    </row>
    <row r="157" spans="1:7">
      <c r="A157" s="405" t="s">
        <v>257</v>
      </c>
      <c r="B157" s="451" t="s">
        <v>125</v>
      </c>
      <c r="C157" s="439"/>
      <c r="D157" s="439"/>
      <c r="E157" s="428"/>
      <c r="F157" s="447" t="s">
        <v>154</v>
      </c>
      <c r="G157" s="447" t="s">
        <v>154</v>
      </c>
    </row>
    <row r="158" spans="1:7">
      <c r="A158" s="405" t="s">
        <v>258</v>
      </c>
      <c r="B158" s="451" t="s">
        <v>125</v>
      </c>
      <c r="C158" s="439"/>
      <c r="D158" s="439"/>
      <c r="E158" s="428"/>
      <c r="F158" s="447" t="s">
        <v>154</v>
      </c>
      <c r="G158" s="447" t="s">
        <v>154</v>
      </c>
    </row>
    <row r="159" spans="1:7">
      <c r="A159" s="405" t="s">
        <v>259</v>
      </c>
      <c r="B159" s="451" t="s">
        <v>125</v>
      </c>
      <c r="C159" s="439"/>
      <c r="D159" s="439"/>
      <c r="E159" s="428"/>
      <c r="F159" s="447" t="s">
        <v>154</v>
      </c>
      <c r="G159" s="447" t="s">
        <v>154</v>
      </c>
    </row>
    <row r="160" spans="1:7">
      <c r="A160" s="405" t="s">
        <v>260</v>
      </c>
      <c r="B160" s="451" t="s">
        <v>125</v>
      </c>
      <c r="C160" s="439"/>
      <c r="D160" s="439"/>
      <c r="E160" s="428"/>
      <c r="F160" s="447" t="s">
        <v>154</v>
      </c>
      <c r="G160" s="447" t="s">
        <v>154</v>
      </c>
    </row>
    <row r="161" spans="1:7">
      <c r="A161" s="405" t="s">
        <v>261</v>
      </c>
      <c r="B161" s="451" t="s">
        <v>125</v>
      </c>
      <c r="C161" s="439"/>
      <c r="D161" s="439"/>
      <c r="E161" s="428"/>
      <c r="F161" s="447" t="s">
        <v>154</v>
      </c>
      <c r="G161" s="447" t="s">
        <v>154</v>
      </c>
    </row>
    <row r="162" spans="1:7">
      <c r="A162" s="405" t="s">
        <v>262</v>
      </c>
      <c r="B162" s="451" t="s">
        <v>125</v>
      </c>
      <c r="C162" s="439"/>
      <c r="D162" s="439"/>
      <c r="E162" s="428"/>
      <c r="F162" s="447" t="s">
        <v>154</v>
      </c>
      <c r="G162" s="447" t="s">
        <v>154</v>
      </c>
    </row>
    <row r="163" spans="1:7">
      <c r="A163" s="436"/>
      <c r="B163" s="455" t="s">
        <v>24</v>
      </c>
      <c r="C163" s="456" t="s">
        <v>193</v>
      </c>
      <c r="D163" s="456" t="s">
        <v>194</v>
      </c>
      <c r="E163" s="457"/>
      <c r="F163" s="456" t="s">
        <v>195</v>
      </c>
      <c r="G163" s="456" t="s">
        <v>196</v>
      </c>
    </row>
    <row r="164" spans="1:7">
      <c r="A164" s="405" t="s">
        <v>263</v>
      </c>
      <c r="B164" s="405" t="s">
        <v>264</v>
      </c>
      <c r="C164" s="486">
        <v>1565000000</v>
      </c>
      <c r="D164" s="439" t="s">
        <v>198</v>
      </c>
      <c r="E164" s="454"/>
      <c r="F164" s="447">
        <v>1</v>
      </c>
      <c r="G164" s="447" t="s">
        <v>154</v>
      </c>
    </row>
    <row r="165" spans="1:7">
      <c r="A165" s="405" t="s">
        <v>265</v>
      </c>
      <c r="B165" s="405" t="s">
        <v>266</v>
      </c>
      <c r="C165" s="486">
        <v>0</v>
      </c>
      <c r="D165" s="439" t="s">
        <v>198</v>
      </c>
      <c r="E165" s="454"/>
      <c r="F165" s="447">
        <v>0</v>
      </c>
      <c r="G165" s="447" t="s">
        <v>154</v>
      </c>
    </row>
    <row r="166" spans="1:7">
      <c r="A166" s="405" t="s">
        <v>267</v>
      </c>
      <c r="B166" s="405" t="s">
        <v>121</v>
      </c>
      <c r="C166" s="486">
        <v>0</v>
      </c>
      <c r="D166" s="439" t="s">
        <v>198</v>
      </c>
      <c r="E166" s="454"/>
      <c r="F166" s="447">
        <v>0</v>
      </c>
      <c r="G166" s="447" t="s">
        <v>154</v>
      </c>
    </row>
    <row r="167" spans="1:7">
      <c r="A167" s="405" t="s">
        <v>268</v>
      </c>
      <c r="B167" s="467" t="s">
        <v>123</v>
      </c>
      <c r="C167" s="486">
        <v>1565000000</v>
      </c>
      <c r="D167" s="439" t="s">
        <v>198</v>
      </c>
      <c r="E167" s="454"/>
      <c r="F167" s="447">
        <v>1</v>
      </c>
      <c r="G167" s="450"/>
    </row>
    <row r="168" spans="1:7">
      <c r="A168" s="405" t="s">
        <v>269</v>
      </c>
      <c r="B168" s="467"/>
      <c r="C168" s="488"/>
      <c r="D168" s="439"/>
      <c r="E168" s="454"/>
      <c r="F168" s="454"/>
      <c r="G168" s="428"/>
    </row>
    <row r="169" spans="1:7">
      <c r="A169" s="405" t="s">
        <v>270</v>
      </c>
      <c r="B169" s="467"/>
      <c r="C169" s="488"/>
      <c r="D169" s="439"/>
      <c r="E169" s="454"/>
      <c r="F169" s="454"/>
      <c r="G169" s="428"/>
    </row>
    <row r="170" spans="1:7">
      <c r="A170" s="405" t="s">
        <v>271</v>
      </c>
      <c r="B170" s="467"/>
      <c r="C170" s="439"/>
      <c r="D170" s="439"/>
      <c r="E170" s="454"/>
      <c r="F170" s="454"/>
      <c r="G170" s="428"/>
    </row>
    <row r="171" spans="1:7">
      <c r="A171" s="405" t="s">
        <v>272</v>
      </c>
      <c r="B171" s="467"/>
      <c r="C171" s="439"/>
      <c r="D171" s="439"/>
      <c r="E171" s="454"/>
      <c r="F171" s="454"/>
      <c r="G171" s="428"/>
    </row>
    <row r="172" spans="1:7">
      <c r="A172" s="405" t="s">
        <v>273</v>
      </c>
      <c r="B172" s="467"/>
      <c r="C172" s="439"/>
      <c r="D172" s="439"/>
      <c r="E172" s="454"/>
      <c r="F172" s="454"/>
      <c r="G172" s="428"/>
    </row>
    <row r="173" spans="1:7">
      <c r="A173" s="436"/>
      <c r="B173" s="455" t="s">
        <v>274</v>
      </c>
      <c r="C173" s="436" t="s">
        <v>83</v>
      </c>
      <c r="D173" s="436"/>
      <c r="E173" s="457"/>
      <c r="F173" s="436" t="s">
        <v>275</v>
      </c>
      <c r="G173" s="436"/>
    </row>
    <row r="174" spans="1:7">
      <c r="A174" s="405" t="s">
        <v>276</v>
      </c>
      <c r="B174" s="428" t="s">
        <v>277</v>
      </c>
      <c r="C174" s="437">
        <v>0</v>
      </c>
      <c r="D174" s="423"/>
      <c r="E174" s="424"/>
      <c r="F174" s="447">
        <v>0</v>
      </c>
      <c r="G174" s="448"/>
    </row>
    <row r="175" spans="1:7" ht="30">
      <c r="A175" s="405" t="s">
        <v>278</v>
      </c>
      <c r="B175" s="428" t="s">
        <v>279</v>
      </c>
      <c r="C175" s="437">
        <v>0</v>
      </c>
      <c r="D175" s="405"/>
      <c r="E175" s="454"/>
      <c r="F175" s="447">
        <v>0</v>
      </c>
      <c r="G175" s="448"/>
    </row>
    <row r="176" spans="1:7">
      <c r="A176" s="405" t="s">
        <v>280</v>
      </c>
      <c r="B176" s="428" t="s">
        <v>281</v>
      </c>
      <c r="C176" s="437">
        <v>0</v>
      </c>
      <c r="D176" s="405"/>
      <c r="E176" s="454"/>
      <c r="F176" s="447">
        <v>0</v>
      </c>
      <c r="G176" s="448"/>
    </row>
    <row r="177" spans="1:7">
      <c r="A177" s="405" t="s">
        <v>282</v>
      </c>
      <c r="B177" s="428" t="s">
        <v>283</v>
      </c>
      <c r="C177" s="437">
        <v>0</v>
      </c>
      <c r="D177" s="405"/>
      <c r="E177" s="454"/>
      <c r="F177" s="447">
        <v>0</v>
      </c>
      <c r="G177" s="448"/>
    </row>
    <row r="178" spans="1:7">
      <c r="A178" s="405" t="s">
        <v>284</v>
      </c>
      <c r="B178" s="428" t="s">
        <v>121</v>
      </c>
      <c r="C178" s="437">
        <v>0</v>
      </c>
      <c r="D178" s="405"/>
      <c r="E178" s="454"/>
      <c r="F178" s="447">
        <v>0</v>
      </c>
      <c r="G178" s="448"/>
    </row>
    <row r="179" spans="1:7">
      <c r="A179" s="405" t="s">
        <v>285</v>
      </c>
      <c r="B179" s="449" t="s">
        <v>123</v>
      </c>
      <c r="C179" s="437">
        <v>0</v>
      </c>
      <c r="D179" s="405"/>
      <c r="E179" s="454"/>
      <c r="F179" s="450">
        <v>0</v>
      </c>
      <c r="G179" s="448"/>
    </row>
    <row r="180" spans="1:7">
      <c r="A180" s="405" t="s">
        <v>286</v>
      </c>
      <c r="B180" s="462" t="s">
        <v>287</v>
      </c>
      <c r="C180" s="439"/>
      <c r="D180" s="405"/>
      <c r="E180" s="454"/>
      <c r="F180" s="447" t="s">
        <v>154</v>
      </c>
      <c r="G180" s="448"/>
    </row>
    <row r="181" spans="1:7" ht="30">
      <c r="A181" s="405" t="s">
        <v>288</v>
      </c>
      <c r="B181" s="462" t="s">
        <v>289</v>
      </c>
      <c r="C181" s="468"/>
      <c r="D181" s="462"/>
      <c r="E181" s="462"/>
      <c r="F181" s="447" t="s">
        <v>154</v>
      </c>
      <c r="G181" s="462"/>
    </row>
    <row r="182" spans="1:7" ht="30">
      <c r="A182" s="405" t="s">
        <v>290</v>
      </c>
      <c r="B182" s="462" t="s">
        <v>291</v>
      </c>
      <c r="C182" s="439"/>
      <c r="D182" s="405"/>
      <c r="E182" s="454"/>
      <c r="F182" s="447" t="s">
        <v>154</v>
      </c>
      <c r="G182" s="448"/>
    </row>
    <row r="183" spans="1:7">
      <c r="A183" s="405" t="s">
        <v>292</v>
      </c>
      <c r="B183" s="462" t="s">
        <v>293</v>
      </c>
      <c r="C183" s="439"/>
      <c r="D183" s="405"/>
      <c r="E183" s="454"/>
      <c r="F183" s="447" t="s">
        <v>154</v>
      </c>
      <c r="G183" s="448"/>
    </row>
    <row r="184" spans="1:7" ht="30">
      <c r="A184" s="405" t="s">
        <v>294</v>
      </c>
      <c r="B184" s="462" t="s">
        <v>295</v>
      </c>
      <c r="C184" s="468"/>
      <c r="D184" s="462"/>
      <c r="E184" s="462"/>
      <c r="F184" s="447" t="s">
        <v>154</v>
      </c>
      <c r="G184" s="462"/>
    </row>
    <row r="185" spans="1:7" ht="30">
      <c r="A185" s="405" t="s">
        <v>296</v>
      </c>
      <c r="B185" s="462" t="s">
        <v>297</v>
      </c>
      <c r="C185" s="439"/>
      <c r="D185" s="405"/>
      <c r="E185" s="454"/>
      <c r="F185" s="447" t="s">
        <v>154</v>
      </c>
      <c r="G185" s="448"/>
    </row>
    <row r="186" spans="1:7">
      <c r="A186" s="405" t="s">
        <v>298</v>
      </c>
      <c r="B186" s="462" t="s">
        <v>299</v>
      </c>
      <c r="C186" s="439"/>
      <c r="D186" s="405"/>
      <c r="E186" s="454"/>
      <c r="F186" s="447" t="s">
        <v>154</v>
      </c>
      <c r="G186" s="448"/>
    </row>
    <row r="187" spans="1:7">
      <c r="A187" s="405" t="s">
        <v>300</v>
      </c>
      <c r="B187" s="462" t="s">
        <v>301</v>
      </c>
      <c r="C187" s="439"/>
      <c r="D187" s="405"/>
      <c r="E187" s="454"/>
      <c r="F187" s="447" t="s">
        <v>154</v>
      </c>
      <c r="G187" s="448"/>
    </row>
    <row r="188" spans="1:7">
      <c r="A188" s="405" t="s">
        <v>302</v>
      </c>
      <c r="B188" s="462"/>
      <c r="C188" s="405"/>
      <c r="D188" s="405"/>
      <c r="E188" s="454"/>
      <c r="F188" s="448"/>
      <c r="G188" s="448"/>
    </row>
    <row r="189" spans="1:7">
      <c r="A189" s="405" t="s">
        <v>303</v>
      </c>
      <c r="B189" s="462"/>
      <c r="C189" s="405"/>
      <c r="D189" s="405"/>
      <c r="E189" s="454"/>
      <c r="F189" s="448"/>
      <c r="G189" s="448"/>
    </row>
    <row r="190" spans="1:7">
      <c r="A190" s="405" t="s">
        <v>304</v>
      </c>
      <c r="B190" s="462"/>
      <c r="C190" s="405"/>
      <c r="D190" s="405"/>
      <c r="E190" s="454"/>
      <c r="F190" s="448"/>
      <c r="G190" s="448"/>
    </row>
    <row r="191" spans="1:7">
      <c r="A191" s="405" t="s">
        <v>305</v>
      </c>
      <c r="B191" s="451"/>
      <c r="C191" s="405"/>
      <c r="D191" s="405"/>
      <c r="E191" s="454"/>
      <c r="F191" s="448"/>
      <c r="G191" s="448"/>
    </row>
    <row r="192" spans="1:7">
      <c r="A192" s="436"/>
      <c r="B192" s="455" t="s">
        <v>306</v>
      </c>
      <c r="C192" s="436" t="s">
        <v>83</v>
      </c>
      <c r="D192" s="436"/>
      <c r="E192" s="457"/>
      <c r="F192" s="436" t="s">
        <v>275</v>
      </c>
      <c r="G192" s="436"/>
    </row>
    <row r="193" spans="1:7">
      <c r="A193" s="405" t="s">
        <v>307</v>
      </c>
      <c r="B193" s="428" t="s">
        <v>308</v>
      </c>
      <c r="C193" s="437">
        <v>0</v>
      </c>
      <c r="D193" s="405"/>
      <c r="E193" s="446"/>
      <c r="F193" s="450">
        <v>0</v>
      </c>
      <c r="G193" s="448"/>
    </row>
    <row r="194" spans="1:7">
      <c r="A194" s="405" t="s">
        <v>309</v>
      </c>
      <c r="B194" s="428" t="s">
        <v>310</v>
      </c>
      <c r="C194" s="437">
        <v>0</v>
      </c>
      <c r="D194" s="405"/>
      <c r="E194" s="454"/>
      <c r="F194" s="450">
        <v>0</v>
      </c>
      <c r="G194" s="454"/>
    </row>
    <row r="195" spans="1:7">
      <c r="A195" s="405" t="s">
        <v>311</v>
      </c>
      <c r="B195" s="428" t="s">
        <v>312</v>
      </c>
      <c r="C195" s="437">
        <v>0</v>
      </c>
      <c r="D195" s="405"/>
      <c r="E195" s="454"/>
      <c r="F195" s="450">
        <v>0</v>
      </c>
      <c r="G195" s="454"/>
    </row>
    <row r="196" spans="1:7">
      <c r="A196" s="405" t="s">
        <v>313</v>
      </c>
      <c r="B196" s="428" t="s">
        <v>314</v>
      </c>
      <c r="C196" s="437">
        <v>0</v>
      </c>
      <c r="D196" s="405"/>
      <c r="E196" s="454"/>
      <c r="F196" s="450">
        <v>0</v>
      </c>
      <c r="G196" s="454"/>
    </row>
    <row r="197" spans="1:7">
      <c r="A197" s="405" t="s">
        <v>315</v>
      </c>
      <c r="B197" s="428" t="s">
        <v>316</v>
      </c>
      <c r="C197" s="437">
        <v>0</v>
      </c>
      <c r="D197" s="405"/>
      <c r="E197" s="454"/>
      <c r="F197" s="450">
        <v>0</v>
      </c>
      <c r="G197" s="454"/>
    </row>
    <row r="198" spans="1:7">
      <c r="A198" s="405" t="s">
        <v>317</v>
      </c>
      <c r="B198" s="428" t="s">
        <v>318</v>
      </c>
      <c r="C198" s="437">
        <v>0</v>
      </c>
      <c r="D198" s="405"/>
      <c r="E198" s="454"/>
      <c r="F198" s="450">
        <v>0</v>
      </c>
      <c r="G198" s="454"/>
    </row>
    <row r="199" spans="1:7">
      <c r="A199" s="405" t="s">
        <v>319</v>
      </c>
      <c r="B199" s="428" t="s">
        <v>320</v>
      </c>
      <c r="C199" s="437">
        <v>0</v>
      </c>
      <c r="D199" s="405"/>
      <c r="E199" s="454"/>
      <c r="F199" s="450">
        <v>0</v>
      </c>
      <c r="G199" s="454"/>
    </row>
    <row r="200" spans="1:7">
      <c r="A200" s="405" t="s">
        <v>321</v>
      </c>
      <c r="B200" s="428" t="s">
        <v>322</v>
      </c>
      <c r="C200" s="437">
        <v>0</v>
      </c>
      <c r="D200" s="405"/>
      <c r="E200" s="454"/>
      <c r="F200" s="450">
        <v>0</v>
      </c>
      <c r="G200" s="454"/>
    </row>
    <row r="201" spans="1:7">
      <c r="A201" s="405" t="s">
        <v>323</v>
      </c>
      <c r="B201" s="428" t="s">
        <v>324</v>
      </c>
      <c r="C201" s="437">
        <v>0</v>
      </c>
      <c r="D201" s="405"/>
      <c r="E201" s="454"/>
      <c r="F201" s="450">
        <v>0</v>
      </c>
      <c r="G201" s="454"/>
    </row>
    <row r="202" spans="1:7">
      <c r="A202" s="405" t="s">
        <v>325</v>
      </c>
      <c r="B202" s="428" t="s">
        <v>326</v>
      </c>
      <c r="C202" s="437">
        <v>0</v>
      </c>
      <c r="D202" s="405"/>
      <c r="E202" s="454"/>
      <c r="F202" s="450">
        <v>0</v>
      </c>
      <c r="G202" s="454"/>
    </row>
    <row r="203" spans="1:7">
      <c r="A203" s="405" t="s">
        <v>327</v>
      </c>
      <c r="B203" s="428" t="s">
        <v>328</v>
      </c>
      <c r="C203" s="437">
        <v>0</v>
      </c>
      <c r="D203" s="405"/>
      <c r="E203" s="454"/>
      <c r="F203" s="450">
        <v>0</v>
      </c>
      <c r="G203" s="454"/>
    </row>
    <row r="204" spans="1:7">
      <c r="A204" s="405" t="s">
        <v>329</v>
      </c>
      <c r="B204" s="428" t="s">
        <v>330</v>
      </c>
      <c r="C204" s="437">
        <v>0</v>
      </c>
      <c r="D204" s="405"/>
      <c r="E204" s="454"/>
      <c r="F204" s="450">
        <v>0</v>
      </c>
      <c r="G204" s="454"/>
    </row>
    <row r="205" spans="1:7">
      <c r="A205" s="405" t="s">
        <v>331</v>
      </c>
      <c r="B205" s="428" t="s">
        <v>332</v>
      </c>
      <c r="C205" s="437">
        <v>0</v>
      </c>
      <c r="D205" s="405"/>
      <c r="E205" s="454"/>
      <c r="F205" s="450">
        <v>0</v>
      </c>
      <c r="G205" s="454"/>
    </row>
    <row r="206" spans="1:7">
      <c r="A206" s="405" t="s">
        <v>333</v>
      </c>
      <c r="B206" s="428" t="s">
        <v>121</v>
      </c>
      <c r="C206" s="437">
        <v>0</v>
      </c>
      <c r="D206" s="405"/>
      <c r="E206" s="454"/>
      <c r="F206" s="450">
        <v>0</v>
      </c>
      <c r="G206" s="454"/>
    </row>
    <row r="207" spans="1:7">
      <c r="A207" s="405" t="s">
        <v>334</v>
      </c>
      <c r="B207" s="449" t="s">
        <v>335</v>
      </c>
      <c r="C207" s="437">
        <v>0</v>
      </c>
      <c r="D207" s="405"/>
      <c r="E207" s="454"/>
      <c r="F207" s="450">
        <v>0</v>
      </c>
      <c r="G207" s="454"/>
    </row>
    <row r="208" spans="1:7">
      <c r="A208" s="405" t="s">
        <v>336</v>
      </c>
      <c r="B208" s="449" t="s">
        <v>123</v>
      </c>
      <c r="C208" s="437">
        <v>0</v>
      </c>
      <c r="D208" s="428"/>
      <c r="E208" s="454"/>
      <c r="F208" s="450">
        <v>0</v>
      </c>
      <c r="G208" s="454"/>
    </row>
    <row r="209" spans="1:7">
      <c r="A209" s="405" t="s">
        <v>337</v>
      </c>
      <c r="B209" s="451" t="s">
        <v>125</v>
      </c>
      <c r="C209" s="439"/>
      <c r="D209" s="405"/>
      <c r="E209" s="454"/>
      <c r="F209" s="447" t="s">
        <v>154</v>
      </c>
      <c r="G209" s="454"/>
    </row>
    <row r="210" spans="1:7">
      <c r="A210" s="405" t="s">
        <v>338</v>
      </c>
      <c r="B210" s="451" t="s">
        <v>125</v>
      </c>
      <c r="C210" s="439"/>
      <c r="D210" s="405"/>
      <c r="E210" s="454"/>
      <c r="F210" s="447" t="s">
        <v>154</v>
      </c>
      <c r="G210" s="454"/>
    </row>
    <row r="211" spans="1:7">
      <c r="A211" s="405" t="s">
        <v>339</v>
      </c>
      <c r="B211" s="451" t="s">
        <v>125</v>
      </c>
      <c r="C211" s="439"/>
      <c r="D211" s="405"/>
      <c r="E211" s="454"/>
      <c r="F211" s="447" t="s">
        <v>154</v>
      </c>
      <c r="G211" s="454"/>
    </row>
    <row r="212" spans="1:7">
      <c r="A212" s="405" t="s">
        <v>340</v>
      </c>
      <c r="B212" s="451" t="s">
        <v>125</v>
      </c>
      <c r="C212" s="439"/>
      <c r="D212" s="405"/>
      <c r="E212" s="454"/>
      <c r="F212" s="447" t="s">
        <v>154</v>
      </c>
      <c r="G212" s="454"/>
    </row>
    <row r="213" spans="1:7">
      <c r="A213" s="405" t="s">
        <v>341</v>
      </c>
      <c r="B213" s="451" t="s">
        <v>125</v>
      </c>
      <c r="C213" s="439"/>
      <c r="D213" s="405"/>
      <c r="E213" s="454"/>
      <c r="F213" s="447" t="s">
        <v>154</v>
      </c>
      <c r="G213" s="454"/>
    </row>
    <row r="214" spans="1:7">
      <c r="A214" s="405" t="s">
        <v>342</v>
      </c>
      <c r="B214" s="451" t="s">
        <v>125</v>
      </c>
      <c r="C214" s="439"/>
      <c r="D214" s="405"/>
      <c r="E214" s="454"/>
      <c r="F214" s="447" t="s">
        <v>154</v>
      </c>
      <c r="G214" s="454"/>
    </row>
    <row r="215" spans="1:7">
      <c r="A215" s="405" t="s">
        <v>343</v>
      </c>
      <c r="B215" s="451" t="s">
        <v>125</v>
      </c>
      <c r="C215" s="439"/>
      <c r="D215" s="405"/>
      <c r="E215" s="454"/>
      <c r="F215" s="447" t="s">
        <v>154</v>
      </c>
      <c r="G215" s="454"/>
    </row>
    <row r="216" spans="1:7">
      <c r="A216" s="436"/>
      <c r="B216" s="455" t="s">
        <v>25</v>
      </c>
      <c r="C216" s="436" t="s">
        <v>83</v>
      </c>
      <c r="D216" s="436"/>
      <c r="E216" s="457"/>
      <c r="F216" s="436" t="s">
        <v>111</v>
      </c>
      <c r="G216" s="436" t="s">
        <v>344</v>
      </c>
    </row>
    <row r="217" spans="1:7">
      <c r="A217" s="405" t="s">
        <v>345</v>
      </c>
      <c r="B217" s="428" t="s">
        <v>346</v>
      </c>
      <c r="C217" s="437">
        <v>0</v>
      </c>
      <c r="D217" s="405"/>
      <c r="E217" s="454"/>
      <c r="F217" s="447">
        <v>0</v>
      </c>
      <c r="G217" s="447" t="s">
        <v>154</v>
      </c>
    </row>
    <row r="218" spans="1:7">
      <c r="A218" s="405" t="s">
        <v>347</v>
      </c>
      <c r="B218" s="428" t="s">
        <v>348</v>
      </c>
      <c r="C218" s="437">
        <v>2553015215.8200016</v>
      </c>
      <c r="D218" s="405"/>
      <c r="E218" s="454"/>
      <c r="F218" s="447">
        <v>1</v>
      </c>
      <c r="G218" s="447"/>
    </row>
    <row r="219" spans="1:7">
      <c r="A219" s="405" t="s">
        <v>349</v>
      </c>
      <c r="B219" s="428" t="s">
        <v>121</v>
      </c>
      <c r="C219" s="437">
        <v>0</v>
      </c>
      <c r="D219" s="405"/>
      <c r="E219" s="454"/>
      <c r="F219" s="447">
        <v>0</v>
      </c>
      <c r="G219" s="447" t="s">
        <v>154</v>
      </c>
    </row>
    <row r="220" spans="1:7">
      <c r="A220" s="405" t="s">
        <v>350</v>
      </c>
      <c r="B220" s="449" t="s">
        <v>123</v>
      </c>
      <c r="C220" s="437">
        <v>2553015215.8200016</v>
      </c>
      <c r="D220" s="405"/>
      <c r="E220" s="454"/>
      <c r="F220" s="447">
        <v>1</v>
      </c>
      <c r="G220" s="442"/>
    </row>
    <row r="221" spans="1:7">
      <c r="A221" s="405" t="s">
        <v>351</v>
      </c>
      <c r="B221" s="451" t="s">
        <v>125</v>
      </c>
      <c r="C221" s="439"/>
      <c r="D221" s="405"/>
      <c r="E221" s="454"/>
      <c r="F221" s="447" t="s">
        <v>154</v>
      </c>
      <c r="G221" s="447" t="s">
        <v>154</v>
      </c>
    </row>
    <row r="222" spans="1:7">
      <c r="A222" s="405" t="s">
        <v>352</v>
      </c>
      <c r="B222" s="451" t="s">
        <v>125</v>
      </c>
      <c r="C222" s="439"/>
      <c r="D222" s="405"/>
      <c r="E222" s="454"/>
      <c r="F222" s="447" t="s">
        <v>154</v>
      </c>
      <c r="G222" s="447" t="s">
        <v>154</v>
      </c>
    </row>
    <row r="223" spans="1:7">
      <c r="A223" s="405" t="s">
        <v>353</v>
      </c>
      <c r="B223" s="451" t="s">
        <v>125</v>
      </c>
      <c r="C223" s="439"/>
      <c r="D223" s="405"/>
      <c r="E223" s="454"/>
      <c r="F223" s="447" t="s">
        <v>154</v>
      </c>
      <c r="G223" s="447" t="s">
        <v>154</v>
      </c>
    </row>
    <row r="224" spans="1:7">
      <c r="A224" s="405" t="s">
        <v>354</v>
      </c>
      <c r="B224" s="451" t="s">
        <v>125</v>
      </c>
      <c r="C224" s="439"/>
      <c r="D224" s="405"/>
      <c r="E224" s="454"/>
      <c r="F224" s="447" t="s">
        <v>154</v>
      </c>
      <c r="G224" s="447" t="s">
        <v>154</v>
      </c>
    </row>
    <row r="225" spans="1:7">
      <c r="A225" s="405" t="s">
        <v>355</v>
      </c>
      <c r="B225" s="451" t="s">
        <v>125</v>
      </c>
      <c r="C225" s="439"/>
      <c r="D225" s="405"/>
      <c r="E225" s="454"/>
      <c r="F225" s="447" t="s">
        <v>154</v>
      </c>
      <c r="G225" s="447" t="s">
        <v>154</v>
      </c>
    </row>
    <row r="226" spans="1:7">
      <c r="A226" s="405" t="s">
        <v>356</v>
      </c>
      <c r="B226" s="451" t="s">
        <v>125</v>
      </c>
      <c r="C226" s="439"/>
      <c r="D226" s="405"/>
      <c r="E226" s="428"/>
      <c r="F226" s="447" t="s">
        <v>154</v>
      </c>
      <c r="G226" s="447" t="s">
        <v>154</v>
      </c>
    </row>
    <row r="227" spans="1:7">
      <c r="A227" s="405" t="s">
        <v>357</v>
      </c>
      <c r="B227" s="451" t="s">
        <v>125</v>
      </c>
      <c r="C227" s="439"/>
      <c r="D227" s="405"/>
      <c r="E227" s="454"/>
      <c r="F227" s="447" t="s">
        <v>154</v>
      </c>
      <c r="G227" s="447" t="s">
        <v>154</v>
      </c>
    </row>
    <row r="228" spans="1:7">
      <c r="A228" s="436"/>
      <c r="B228" s="455" t="s">
        <v>358</v>
      </c>
      <c r="C228" s="436"/>
      <c r="D228" s="436"/>
      <c r="E228" s="457"/>
      <c r="F228" s="436"/>
      <c r="G228" s="436"/>
    </row>
    <row r="229" spans="1:7">
      <c r="A229" s="405" t="s">
        <v>359</v>
      </c>
      <c r="B229" s="428" t="s">
        <v>360</v>
      </c>
      <c r="C229" s="484" t="s">
        <v>4243</v>
      </c>
      <c r="D229" s="405"/>
      <c r="E229" s="405"/>
      <c r="F229" s="405"/>
    </row>
    <row r="230" spans="1:7">
      <c r="A230" s="436"/>
      <c r="B230" s="455" t="s">
        <v>361</v>
      </c>
      <c r="C230" s="436"/>
      <c r="D230" s="436"/>
      <c r="E230" s="457"/>
      <c r="F230" s="436"/>
      <c r="G230" s="436"/>
    </row>
    <row r="231" spans="1:7">
      <c r="A231" s="405" t="s">
        <v>362</v>
      </c>
      <c r="B231" s="405" t="s">
        <v>363</v>
      </c>
      <c r="C231" s="405"/>
      <c r="D231" s="405"/>
      <c r="E231" s="428"/>
      <c r="F231" s="405"/>
    </row>
    <row r="232" spans="1:7">
      <c r="A232" s="405" t="s">
        <v>364</v>
      </c>
      <c r="B232" s="469" t="s">
        <v>365</v>
      </c>
      <c r="C232" s="405"/>
      <c r="D232" s="405"/>
      <c r="E232" s="428"/>
      <c r="F232" s="405"/>
    </row>
    <row r="233" spans="1:7">
      <c r="A233" s="405" t="s">
        <v>366</v>
      </c>
      <c r="B233" s="469" t="s">
        <v>367</v>
      </c>
      <c r="C233" s="405"/>
      <c r="D233" s="405"/>
      <c r="E233" s="428"/>
      <c r="F233" s="405"/>
    </row>
    <row r="234" spans="1:7">
      <c r="A234" s="405" t="s">
        <v>368</v>
      </c>
      <c r="B234" s="426" t="s">
        <v>369</v>
      </c>
      <c r="C234" s="461"/>
      <c r="D234" s="428"/>
      <c r="E234" s="428"/>
      <c r="F234" s="405"/>
    </row>
    <row r="235" spans="1:7">
      <c r="A235" s="405" t="s">
        <v>370</v>
      </c>
      <c r="B235" s="426" t="s">
        <v>371</v>
      </c>
      <c r="C235" s="461"/>
      <c r="D235" s="428"/>
      <c r="E235" s="428"/>
      <c r="F235" s="405"/>
    </row>
    <row r="236" spans="1:7">
      <c r="A236" s="405" t="s">
        <v>372</v>
      </c>
      <c r="B236" s="426" t="s">
        <v>373</v>
      </c>
      <c r="C236" s="428"/>
      <c r="D236" s="428"/>
      <c r="E236" s="428"/>
      <c r="F236" s="405"/>
    </row>
    <row r="237" spans="1:7">
      <c r="A237" s="405" t="s">
        <v>374</v>
      </c>
      <c r="B237" s="405"/>
      <c r="C237" s="428"/>
      <c r="D237" s="428"/>
      <c r="E237" s="428"/>
      <c r="F237" s="405"/>
    </row>
    <row r="238" spans="1:7">
      <c r="A238" s="405" t="s">
        <v>375</v>
      </c>
      <c r="B238" s="405"/>
      <c r="C238" s="428"/>
      <c r="D238" s="428"/>
      <c r="E238" s="428"/>
      <c r="F238" s="405"/>
    </row>
    <row r="239" spans="1:7">
      <c r="A239" s="436"/>
      <c r="B239" s="455" t="s">
        <v>376</v>
      </c>
      <c r="C239" s="436"/>
      <c r="D239" s="436"/>
      <c r="E239" s="457"/>
      <c r="F239" s="436"/>
      <c r="G239" s="436"/>
    </row>
    <row r="240" spans="1:7" ht="30">
      <c r="A240" s="405" t="s">
        <v>377</v>
      </c>
      <c r="B240" s="405" t="s">
        <v>378</v>
      </c>
      <c r="C240" s="469" t="s">
        <v>70</v>
      </c>
      <c r="D240" s="407"/>
      <c r="E240" s="407"/>
      <c r="F240" s="407"/>
      <c r="G240" s="407"/>
    </row>
    <row r="241" spans="1:7" ht="30">
      <c r="A241" s="405" t="s">
        <v>379</v>
      </c>
      <c r="B241" s="405" t="s">
        <v>380</v>
      </c>
      <c r="C241" s="469" t="s">
        <v>381</v>
      </c>
      <c r="D241" s="407"/>
      <c r="E241" s="407"/>
      <c r="F241" s="407"/>
      <c r="G241" s="407"/>
    </row>
    <row r="242" spans="1:7">
      <c r="A242" s="405" t="s">
        <v>382</v>
      </c>
      <c r="B242" s="405" t="s">
        <v>383</v>
      </c>
      <c r="C242" s="405" t="s">
        <v>384</v>
      </c>
      <c r="D242" s="407"/>
      <c r="E242" s="407"/>
      <c r="F242" s="407"/>
      <c r="G242" s="407"/>
    </row>
    <row r="243" spans="1:7" ht="25.5">
      <c r="A243" s="405" t="s">
        <v>385</v>
      </c>
      <c r="B243" s="405" t="s">
        <v>386</v>
      </c>
      <c r="C243" s="484" t="s">
        <v>387</v>
      </c>
      <c r="D243" s="407"/>
      <c r="E243" s="407"/>
      <c r="F243" s="407"/>
      <c r="G243" s="407"/>
    </row>
    <row r="244" spans="1:7">
      <c r="A244" s="405" t="s">
        <v>388</v>
      </c>
      <c r="B244" s="405"/>
      <c r="C244" s="405"/>
      <c r="D244" s="407"/>
      <c r="E244" s="407"/>
      <c r="F244" s="407"/>
      <c r="G244" s="407"/>
    </row>
    <row r="245" spans="1:7">
      <c r="A245" s="405" t="s">
        <v>389</v>
      </c>
      <c r="B245" s="405"/>
      <c r="C245" s="405"/>
      <c r="D245" s="407"/>
      <c r="E245" s="407"/>
      <c r="F245" s="407"/>
      <c r="G245" s="407"/>
    </row>
    <row r="246" spans="1:7">
      <c r="A246" s="405" t="s">
        <v>390</v>
      </c>
      <c r="B246" s="405"/>
      <c r="C246" s="405"/>
      <c r="D246" s="407"/>
      <c r="E246" s="407"/>
      <c r="F246" s="407"/>
      <c r="G246" s="407"/>
    </row>
    <row r="247" spans="1:7">
      <c r="A247" s="405" t="s">
        <v>391</v>
      </c>
      <c r="B247" s="405"/>
      <c r="C247" s="405"/>
      <c r="D247" s="407"/>
      <c r="E247" s="407"/>
      <c r="F247" s="407"/>
      <c r="G247" s="407"/>
    </row>
    <row r="248" spans="1:7">
      <c r="A248" s="405" t="s">
        <v>392</v>
      </c>
      <c r="B248" s="405"/>
      <c r="C248" s="405"/>
      <c r="D248" s="407"/>
      <c r="E248" s="407"/>
      <c r="F248" s="407"/>
      <c r="G248" s="407"/>
    </row>
    <row r="249" spans="1:7">
      <c r="A249" s="405" t="s">
        <v>393</v>
      </c>
      <c r="B249" s="405"/>
      <c r="C249" s="405"/>
      <c r="D249" s="407"/>
      <c r="E249" s="407"/>
      <c r="F249" s="407"/>
      <c r="G249" s="407"/>
    </row>
    <row r="250" spans="1:7">
      <c r="A250" s="405" t="s">
        <v>394</v>
      </c>
      <c r="B250" s="405"/>
      <c r="C250" s="405"/>
      <c r="D250" s="407"/>
      <c r="E250" s="407"/>
      <c r="F250" s="407"/>
      <c r="G250" s="407"/>
    </row>
    <row r="251" spans="1:7">
      <c r="A251" s="405" t="s">
        <v>395</v>
      </c>
      <c r="B251" s="405"/>
      <c r="C251" s="405"/>
      <c r="D251" s="407"/>
      <c r="E251" s="407"/>
      <c r="F251" s="407"/>
      <c r="G251" s="407"/>
    </row>
    <row r="252" spans="1:7">
      <c r="A252" s="405" t="s">
        <v>396</v>
      </c>
      <c r="B252" s="405"/>
      <c r="C252" s="405"/>
      <c r="D252" s="407"/>
      <c r="E252" s="407"/>
      <c r="F252" s="407"/>
      <c r="G252" s="407"/>
    </row>
    <row r="253" spans="1:7">
      <c r="A253" s="405" t="s">
        <v>397</v>
      </c>
      <c r="B253" s="405"/>
      <c r="C253" s="405"/>
      <c r="D253" s="407"/>
      <c r="E253" s="407"/>
      <c r="F253" s="407"/>
      <c r="G253" s="407"/>
    </row>
    <row r="254" spans="1:7">
      <c r="A254" s="405" t="s">
        <v>398</v>
      </c>
      <c r="B254" s="405"/>
      <c r="C254" s="405"/>
      <c r="D254" s="407"/>
      <c r="E254" s="407"/>
      <c r="F254" s="407"/>
      <c r="G254" s="407"/>
    </row>
    <row r="255" spans="1:7">
      <c r="A255" s="405" t="s">
        <v>399</v>
      </c>
      <c r="B255" s="405"/>
      <c r="C255" s="405"/>
      <c r="D255" s="407"/>
      <c r="E255" s="407"/>
      <c r="F255" s="407"/>
      <c r="G255" s="407"/>
    </row>
    <row r="256" spans="1:7">
      <c r="A256" s="405" t="s">
        <v>400</v>
      </c>
      <c r="B256" s="405"/>
      <c r="C256" s="405"/>
      <c r="D256" s="407"/>
      <c r="E256" s="407"/>
      <c r="F256" s="407"/>
      <c r="G256" s="407"/>
    </row>
    <row r="257" spans="1:7">
      <c r="A257" s="405" t="s">
        <v>401</v>
      </c>
      <c r="B257" s="405"/>
      <c r="C257" s="405"/>
      <c r="D257" s="407"/>
      <c r="E257" s="407"/>
      <c r="F257" s="407"/>
      <c r="G257" s="407"/>
    </row>
    <row r="258" spans="1:7">
      <c r="A258" s="405" t="s">
        <v>402</v>
      </c>
      <c r="B258" s="405"/>
      <c r="C258" s="405"/>
      <c r="D258" s="407"/>
      <c r="E258" s="407"/>
      <c r="F258" s="407"/>
      <c r="G258" s="407"/>
    </row>
    <row r="259" spans="1:7">
      <c r="A259" s="405" t="s">
        <v>403</v>
      </c>
      <c r="B259" s="405"/>
      <c r="C259" s="405"/>
      <c r="D259" s="407"/>
      <c r="E259" s="407"/>
      <c r="F259" s="407"/>
      <c r="G259" s="407"/>
    </row>
    <row r="260" spans="1:7">
      <c r="A260" s="405" t="s">
        <v>404</v>
      </c>
      <c r="B260" s="405"/>
      <c r="C260" s="405"/>
      <c r="D260" s="407"/>
      <c r="E260" s="407"/>
      <c r="F260" s="407"/>
      <c r="G260" s="407"/>
    </row>
    <row r="261" spans="1:7">
      <c r="A261" s="405" t="s">
        <v>405</v>
      </c>
      <c r="B261" s="405"/>
      <c r="C261" s="405"/>
      <c r="D261" s="407"/>
      <c r="E261" s="407"/>
      <c r="F261" s="407"/>
      <c r="G261" s="407"/>
    </row>
    <row r="262" spans="1:7">
      <c r="A262" s="405" t="s">
        <v>406</v>
      </c>
      <c r="B262" s="405"/>
      <c r="C262" s="405"/>
      <c r="D262" s="407"/>
      <c r="E262" s="407"/>
      <c r="F262" s="407"/>
      <c r="G262" s="407"/>
    </row>
    <row r="263" spans="1:7">
      <c r="A263" s="405" t="s">
        <v>407</v>
      </c>
      <c r="B263" s="405"/>
      <c r="C263" s="405"/>
      <c r="D263" s="407"/>
      <c r="E263" s="407"/>
      <c r="F263" s="407"/>
      <c r="G263" s="407"/>
    </row>
    <row r="264" spans="1:7">
      <c r="A264" s="405" t="s">
        <v>408</v>
      </c>
      <c r="B264" s="405"/>
      <c r="C264" s="405"/>
      <c r="D264" s="407"/>
      <c r="E264" s="407"/>
      <c r="F264" s="407"/>
      <c r="G264" s="407"/>
    </row>
    <row r="265" spans="1:7">
      <c r="A265" s="405" t="s">
        <v>409</v>
      </c>
      <c r="B265" s="405"/>
      <c r="C265" s="405"/>
      <c r="D265" s="407"/>
      <c r="E265" s="407"/>
      <c r="F265" s="407"/>
      <c r="G265" s="407"/>
    </row>
    <row r="266" spans="1:7">
      <c r="A266" s="405" t="s">
        <v>410</v>
      </c>
      <c r="B266" s="405"/>
      <c r="C266" s="405"/>
      <c r="D266" s="407"/>
      <c r="E266" s="407"/>
      <c r="F266" s="407"/>
      <c r="G266" s="407"/>
    </row>
    <row r="267" spans="1:7">
      <c r="A267" s="405" t="s">
        <v>411</v>
      </c>
      <c r="B267" s="405"/>
      <c r="C267" s="405"/>
      <c r="D267" s="407"/>
      <c r="E267" s="407"/>
      <c r="F267" s="407"/>
      <c r="G267" s="407"/>
    </row>
    <row r="268" spans="1:7">
      <c r="A268" s="405" t="s">
        <v>412</v>
      </c>
      <c r="B268" s="405"/>
      <c r="C268" s="405"/>
      <c r="D268" s="407"/>
      <c r="E268" s="407"/>
      <c r="F268" s="407"/>
      <c r="G268" s="407"/>
    </row>
    <row r="269" spans="1:7">
      <c r="A269" s="405" t="s">
        <v>413</v>
      </c>
      <c r="B269" s="405"/>
      <c r="C269" s="405"/>
      <c r="D269" s="407"/>
      <c r="E269" s="407"/>
      <c r="F269" s="407"/>
      <c r="G269" s="407"/>
    </row>
    <row r="270" spans="1:7">
      <c r="A270" s="405" t="s">
        <v>414</v>
      </c>
      <c r="B270" s="405"/>
      <c r="C270" s="405"/>
      <c r="D270" s="407"/>
      <c r="E270" s="407"/>
      <c r="F270" s="407"/>
      <c r="G270" s="407"/>
    </row>
    <row r="271" spans="1:7">
      <c r="A271" s="405" t="s">
        <v>415</v>
      </c>
      <c r="B271" s="405"/>
      <c r="C271" s="405"/>
      <c r="D271" s="407"/>
      <c r="E271" s="407"/>
      <c r="F271" s="407"/>
      <c r="G271" s="407"/>
    </row>
    <row r="272" spans="1:7">
      <c r="A272" s="405" t="s">
        <v>416</v>
      </c>
      <c r="B272" s="405"/>
      <c r="C272" s="405"/>
      <c r="D272" s="407"/>
      <c r="E272" s="407"/>
      <c r="F272" s="407"/>
      <c r="G272" s="407"/>
    </row>
    <row r="273" spans="1:7">
      <c r="A273" s="405" t="s">
        <v>417</v>
      </c>
      <c r="B273" s="405"/>
      <c r="C273" s="405"/>
      <c r="D273" s="407"/>
      <c r="E273" s="407"/>
      <c r="F273" s="407"/>
      <c r="G273" s="407"/>
    </row>
    <row r="274" spans="1:7">
      <c r="A274" s="405" t="s">
        <v>418</v>
      </c>
      <c r="B274" s="405"/>
      <c r="C274" s="405"/>
      <c r="D274" s="407"/>
      <c r="E274" s="407"/>
      <c r="F274" s="407"/>
      <c r="G274" s="407"/>
    </row>
    <row r="275" spans="1:7">
      <c r="A275" s="405" t="s">
        <v>419</v>
      </c>
      <c r="B275" s="405"/>
      <c r="C275" s="405"/>
      <c r="D275" s="407"/>
      <c r="E275" s="407"/>
      <c r="F275" s="407"/>
      <c r="G275" s="407"/>
    </row>
    <row r="276" spans="1:7">
      <c r="A276" s="405" t="s">
        <v>420</v>
      </c>
      <c r="B276" s="405"/>
      <c r="C276" s="405"/>
      <c r="D276" s="407"/>
      <c r="E276" s="407"/>
      <c r="F276" s="407"/>
      <c r="G276" s="407"/>
    </row>
    <row r="277" spans="1:7">
      <c r="A277" s="405" t="s">
        <v>421</v>
      </c>
      <c r="B277" s="405"/>
      <c r="C277" s="405"/>
      <c r="D277" s="407"/>
      <c r="E277" s="407"/>
      <c r="F277" s="407"/>
      <c r="G277" s="407"/>
    </row>
    <row r="278" spans="1:7">
      <c r="A278" s="405" t="s">
        <v>422</v>
      </c>
      <c r="B278" s="405"/>
      <c r="C278" s="405"/>
      <c r="D278" s="407"/>
      <c r="E278" s="407"/>
      <c r="F278" s="407"/>
      <c r="G278" s="407"/>
    </row>
    <row r="279" spans="1:7">
      <c r="A279" s="405" t="s">
        <v>423</v>
      </c>
      <c r="B279" s="405"/>
      <c r="C279" s="405"/>
      <c r="D279" s="407"/>
      <c r="E279" s="407"/>
      <c r="F279" s="407"/>
      <c r="G279" s="407"/>
    </row>
    <row r="280" spans="1:7">
      <c r="A280" s="405" t="s">
        <v>424</v>
      </c>
      <c r="B280" s="405"/>
      <c r="C280" s="405"/>
      <c r="D280" s="407"/>
      <c r="E280" s="407"/>
      <c r="F280" s="407"/>
      <c r="G280" s="407"/>
    </row>
    <row r="281" spans="1:7">
      <c r="A281" s="405" t="s">
        <v>425</v>
      </c>
      <c r="B281" s="405"/>
      <c r="C281" s="405"/>
      <c r="D281" s="407"/>
      <c r="E281" s="407"/>
      <c r="F281" s="407"/>
      <c r="G281" s="407"/>
    </row>
    <row r="282" spans="1:7">
      <c r="A282" s="405" t="s">
        <v>426</v>
      </c>
      <c r="B282" s="405"/>
      <c r="C282" s="405"/>
      <c r="D282" s="407"/>
      <c r="E282" s="407"/>
      <c r="F282" s="407"/>
      <c r="G282" s="407"/>
    </row>
    <row r="283" spans="1:7">
      <c r="A283" s="405" t="s">
        <v>427</v>
      </c>
      <c r="B283" s="405"/>
      <c r="C283" s="405"/>
      <c r="D283" s="407"/>
      <c r="E283" s="407"/>
      <c r="F283" s="407"/>
      <c r="G283" s="407"/>
    </row>
    <row r="284" spans="1:7">
      <c r="A284" s="405" t="s">
        <v>428</v>
      </c>
      <c r="B284" s="405"/>
      <c r="C284" s="405"/>
      <c r="D284" s="407"/>
      <c r="E284" s="407"/>
      <c r="F284" s="407"/>
      <c r="G284" s="407"/>
    </row>
    <row r="285" spans="1:7" ht="37.5">
      <c r="A285" s="420"/>
      <c r="B285" s="420" t="s">
        <v>429</v>
      </c>
      <c r="C285" s="420" t="s">
        <v>430</v>
      </c>
      <c r="D285" s="420" t="s">
        <v>430</v>
      </c>
      <c r="E285" s="420"/>
      <c r="F285" s="421"/>
      <c r="G285" s="422"/>
    </row>
    <row r="286" spans="1:7">
      <c r="A286" s="470" t="s">
        <v>431</v>
      </c>
      <c r="B286" s="471"/>
      <c r="C286" s="471"/>
      <c r="D286" s="471"/>
      <c r="E286" s="471"/>
      <c r="F286" s="472"/>
      <c r="G286" s="471"/>
    </row>
    <row r="287" spans="1:7">
      <c r="A287" s="470" t="s">
        <v>432</v>
      </c>
      <c r="B287" s="471"/>
      <c r="C287" s="471"/>
      <c r="D287" s="471"/>
      <c r="E287" s="471"/>
      <c r="F287" s="472"/>
      <c r="G287" s="471"/>
    </row>
    <row r="288" spans="1:7">
      <c r="A288" s="412" t="s">
        <v>433</v>
      </c>
      <c r="B288" s="427" t="s">
        <v>434</v>
      </c>
      <c r="C288" s="430"/>
      <c r="D288" s="473"/>
      <c r="E288" s="473"/>
      <c r="F288" s="473"/>
      <c r="G288" s="473"/>
    </row>
    <row r="289" spans="1:7">
      <c r="A289" s="412" t="s">
        <v>435</v>
      </c>
      <c r="B289" s="427" t="s">
        <v>436</v>
      </c>
      <c r="C289" s="430"/>
      <c r="E289" s="473"/>
      <c r="F289" s="473"/>
    </row>
    <row r="290" spans="1:7">
      <c r="A290" s="412" t="s">
        <v>437</v>
      </c>
      <c r="B290" s="427" t="s">
        <v>438</v>
      </c>
      <c r="C290" s="430"/>
      <c r="D290" s="430"/>
      <c r="E290" s="474"/>
      <c r="F290" s="473"/>
      <c r="G290" s="474"/>
    </row>
    <row r="291" spans="1:7">
      <c r="A291" s="412" t="s">
        <v>439</v>
      </c>
      <c r="B291" s="427" t="s">
        <v>440</v>
      </c>
      <c r="C291" s="430"/>
    </row>
    <row r="292" spans="1:7">
      <c r="A292" s="412" t="s">
        <v>441</v>
      </c>
      <c r="B292" s="427" t="s">
        <v>442</v>
      </c>
      <c r="C292" s="475"/>
      <c r="D292" s="430"/>
      <c r="E292" s="474"/>
      <c r="F292" s="430"/>
      <c r="G292" s="474"/>
    </row>
    <row r="293" spans="1:7">
      <c r="A293" s="412" t="s">
        <v>443</v>
      </c>
      <c r="B293" s="427" t="s">
        <v>444</v>
      </c>
      <c r="C293" s="430"/>
      <c r="D293" s="430"/>
    </row>
    <row r="294" spans="1:7">
      <c r="A294" s="412" t="s">
        <v>445</v>
      </c>
      <c r="B294" s="427" t="s">
        <v>446</v>
      </c>
      <c r="C294" s="430"/>
      <c r="F294" s="474"/>
    </row>
    <row r="295" spans="1:7">
      <c r="A295" s="412" t="s">
        <v>447</v>
      </c>
      <c r="B295" s="427" t="s">
        <v>448</v>
      </c>
      <c r="C295" s="430"/>
      <c r="E295" s="474"/>
      <c r="F295" s="474"/>
    </row>
    <row r="296" spans="1:7">
      <c r="A296" s="412" t="s">
        <v>449</v>
      </c>
      <c r="B296" s="427" t="s">
        <v>450</v>
      </c>
      <c r="C296" s="430"/>
      <c r="E296" s="474"/>
      <c r="F296" s="474"/>
    </row>
    <row r="297" spans="1:7">
      <c r="A297" s="412" t="s">
        <v>451</v>
      </c>
      <c r="B297" s="427" t="s">
        <v>452</v>
      </c>
      <c r="C297" s="430"/>
      <c r="E297" s="474"/>
    </row>
    <row r="298" spans="1:7">
      <c r="A298" s="412" t="s">
        <v>453</v>
      </c>
      <c r="B298" s="427" t="s">
        <v>454</v>
      </c>
      <c r="C298" s="430"/>
      <c r="E298" s="474"/>
    </row>
    <row r="299" spans="1:7">
      <c r="A299" s="412" t="s">
        <v>455</v>
      </c>
      <c r="B299" s="427" t="s">
        <v>456</v>
      </c>
      <c r="C299" s="430"/>
      <c r="D299" s="430"/>
      <c r="E299" s="474"/>
    </row>
    <row r="300" spans="1:7">
      <c r="A300" s="412" t="s">
        <v>457</v>
      </c>
      <c r="B300" s="427"/>
      <c r="C300" s="430"/>
      <c r="D300" s="430"/>
      <c r="E300" s="474"/>
    </row>
    <row r="301" spans="1:7">
      <c r="A301" s="412" t="s">
        <v>458</v>
      </c>
      <c r="B301" s="427"/>
      <c r="C301" s="430"/>
      <c r="D301" s="430"/>
      <c r="E301" s="474"/>
    </row>
    <row r="302" spans="1:7">
      <c r="A302" s="412" t="s">
        <v>459</v>
      </c>
      <c r="B302" s="427"/>
      <c r="C302" s="430"/>
      <c r="D302" s="430"/>
      <c r="E302" s="474"/>
    </row>
    <row r="303" spans="1:7">
      <c r="A303" s="412" t="s">
        <v>460</v>
      </c>
      <c r="B303" s="427"/>
      <c r="C303" s="430"/>
      <c r="D303" s="430"/>
      <c r="E303" s="474"/>
    </row>
    <row r="304" spans="1:7">
      <c r="A304" s="412" t="s">
        <v>461</v>
      </c>
      <c r="B304" s="427"/>
      <c r="C304" s="430"/>
      <c r="D304" s="430"/>
      <c r="E304" s="474"/>
    </row>
    <row r="305" spans="1:7">
      <c r="A305" s="412" t="s">
        <v>462</v>
      </c>
      <c r="B305" s="427"/>
      <c r="C305" s="430"/>
      <c r="D305" s="430"/>
      <c r="E305" s="474"/>
    </row>
    <row r="306" spans="1:7">
      <c r="A306" s="412" t="s">
        <v>463</v>
      </c>
      <c r="B306" s="427"/>
      <c r="C306" s="430"/>
      <c r="D306" s="430"/>
      <c r="E306" s="474"/>
    </row>
    <row r="307" spans="1:7">
      <c r="A307" s="412" t="s">
        <v>464</v>
      </c>
      <c r="B307" s="427"/>
      <c r="C307" s="430"/>
      <c r="D307" s="430"/>
      <c r="E307" s="474"/>
    </row>
    <row r="308" spans="1:7">
      <c r="A308" s="412" t="s">
        <v>465</v>
      </c>
      <c r="B308" s="427"/>
      <c r="C308" s="430"/>
      <c r="D308" s="430"/>
      <c r="E308" s="474"/>
    </row>
    <row r="309" spans="1:7">
      <c r="A309" s="412" t="s">
        <v>466</v>
      </c>
    </row>
    <row r="310" spans="1:7" ht="37.5">
      <c r="A310" s="421"/>
      <c r="B310" s="420" t="s">
        <v>44</v>
      </c>
      <c r="C310" s="421"/>
      <c r="D310" s="421"/>
      <c r="E310" s="421"/>
      <c r="F310" s="421"/>
      <c r="G310" s="422"/>
    </row>
    <row r="311" spans="1:7">
      <c r="A311" s="412" t="s">
        <v>467</v>
      </c>
      <c r="B311" s="476" t="s">
        <v>468</v>
      </c>
    </row>
    <row r="312" spans="1:7">
      <c r="A312" s="412" t="s">
        <v>469</v>
      </c>
      <c r="B312" s="476"/>
      <c r="C312" s="430"/>
    </row>
    <row r="313" spans="1:7">
      <c r="A313" s="412" t="s">
        <v>470</v>
      </c>
      <c r="B313" s="476"/>
      <c r="C313" s="430"/>
    </row>
    <row r="314" spans="1:7">
      <c r="A314" s="412" t="s">
        <v>471</v>
      </c>
      <c r="B314" s="476"/>
      <c r="C314" s="430"/>
    </row>
    <row r="315" spans="1:7">
      <c r="A315" s="412" t="s">
        <v>472</v>
      </c>
      <c r="B315" s="476"/>
      <c r="C315" s="430"/>
    </row>
    <row r="316" spans="1:7">
      <c r="A316" s="412" t="s">
        <v>473</v>
      </c>
      <c r="B316" s="476"/>
      <c r="C316" s="430"/>
    </row>
    <row r="317" spans="1:7">
      <c r="A317" s="412" t="s">
        <v>474</v>
      </c>
      <c r="B317" s="476"/>
      <c r="C317" s="430"/>
    </row>
    <row r="318" spans="1:7" ht="18.75">
      <c r="A318" s="421"/>
      <c r="B318" s="420" t="s">
        <v>45</v>
      </c>
      <c r="C318" s="421"/>
      <c r="D318" s="421"/>
      <c r="E318" s="421"/>
      <c r="F318" s="421"/>
      <c r="G318" s="422"/>
    </row>
    <row r="319" spans="1:7">
      <c r="A319" s="433"/>
      <c r="B319" s="434" t="s">
        <v>475</v>
      </c>
      <c r="C319" s="433"/>
      <c r="D319" s="433"/>
      <c r="E319" s="435"/>
      <c r="F319" s="436"/>
      <c r="G319" s="436"/>
    </row>
    <row r="320" spans="1:7">
      <c r="A320" s="412" t="s">
        <v>476</v>
      </c>
      <c r="B320" s="427" t="s">
        <v>477</v>
      </c>
      <c r="C320" s="427"/>
    </row>
    <row r="321" spans="1:3">
      <c r="A321" s="412" t="s">
        <v>478</v>
      </c>
      <c r="B321" s="427" t="s">
        <v>479</v>
      </c>
      <c r="C321" s="427"/>
    </row>
    <row r="322" spans="1:3">
      <c r="A322" s="412" t="s">
        <v>480</v>
      </c>
      <c r="B322" s="427" t="s">
        <v>481</v>
      </c>
      <c r="C322" s="427"/>
    </row>
    <row r="323" spans="1:3">
      <c r="A323" s="412" t="s">
        <v>482</v>
      </c>
      <c r="B323" s="427" t="s">
        <v>483</v>
      </c>
    </row>
    <row r="324" spans="1:3">
      <c r="A324" s="412" t="s">
        <v>484</v>
      </c>
      <c r="B324" s="427" t="s">
        <v>485</v>
      </c>
    </row>
    <row r="325" spans="1:3">
      <c r="A325" s="412" t="s">
        <v>486</v>
      </c>
      <c r="B325" s="427" t="s">
        <v>487</v>
      </c>
    </row>
    <row r="326" spans="1:3">
      <c r="A326" s="412" t="s">
        <v>488</v>
      </c>
      <c r="B326" s="427" t="s">
        <v>489</v>
      </c>
    </row>
    <row r="327" spans="1:3">
      <c r="A327" s="412" t="s">
        <v>490</v>
      </c>
      <c r="B327" s="427" t="s">
        <v>491</v>
      </c>
    </row>
    <row r="328" spans="1:3">
      <c r="A328" s="412" t="s">
        <v>492</v>
      </c>
      <c r="B328" s="427" t="s">
        <v>493</v>
      </c>
    </row>
    <row r="329" spans="1:3">
      <c r="A329" s="412" t="s">
        <v>494</v>
      </c>
      <c r="B329" s="477" t="s">
        <v>495</v>
      </c>
    </row>
    <row r="330" spans="1:3">
      <c r="A330" s="412" t="s">
        <v>496</v>
      </c>
      <c r="B330" s="477" t="s">
        <v>495</v>
      </c>
    </row>
    <row r="331" spans="1:3">
      <c r="A331" s="412" t="s">
        <v>497</v>
      </c>
      <c r="B331" s="477" t="s">
        <v>495</v>
      </c>
    </row>
    <row r="332" spans="1:3">
      <c r="A332" s="412" t="s">
        <v>498</v>
      </c>
      <c r="B332" s="477" t="s">
        <v>495</v>
      </c>
    </row>
    <row r="333" spans="1:3">
      <c r="A333" s="412" t="s">
        <v>499</v>
      </c>
      <c r="B333" s="477" t="s">
        <v>495</v>
      </c>
    </row>
    <row r="334" spans="1:3">
      <c r="A334" s="412" t="s">
        <v>500</v>
      </c>
      <c r="B334" s="477" t="s">
        <v>495</v>
      </c>
    </row>
    <row r="335" spans="1:3">
      <c r="A335" s="412" t="s">
        <v>501</v>
      </c>
      <c r="B335" s="477" t="s">
        <v>495</v>
      </c>
    </row>
    <row r="336" spans="1:3">
      <c r="A336" s="412" t="s">
        <v>502</v>
      </c>
      <c r="B336" s="477" t="s">
        <v>495</v>
      </c>
    </row>
    <row r="337" spans="1:2">
      <c r="A337" s="412" t="s">
        <v>503</v>
      </c>
      <c r="B337" s="477" t="s">
        <v>495</v>
      </c>
    </row>
    <row r="338" spans="1:2">
      <c r="A338" s="412" t="s">
        <v>504</v>
      </c>
      <c r="B338" s="477" t="s">
        <v>495</v>
      </c>
    </row>
    <row r="339" spans="1:2">
      <c r="A339" s="412" t="s">
        <v>505</v>
      </c>
      <c r="B339" s="477" t="s">
        <v>495</v>
      </c>
    </row>
    <row r="340" spans="1:2">
      <c r="A340" s="412" t="s">
        <v>506</v>
      </c>
      <c r="B340" s="477" t="s">
        <v>495</v>
      </c>
    </row>
    <row r="341" spans="1:2">
      <c r="A341" s="412" t="s">
        <v>507</v>
      </c>
      <c r="B341" s="477" t="s">
        <v>495</v>
      </c>
    </row>
    <row r="342" spans="1:2">
      <c r="A342" s="412" t="s">
        <v>508</v>
      </c>
      <c r="B342" s="477" t="s">
        <v>495</v>
      </c>
    </row>
    <row r="343" spans="1:2">
      <c r="A343" s="412" t="s">
        <v>509</v>
      </c>
      <c r="B343" s="477" t="s">
        <v>495</v>
      </c>
    </row>
    <row r="344" spans="1:2">
      <c r="A344" s="412" t="s">
        <v>510</v>
      </c>
      <c r="B344" s="477" t="s">
        <v>495</v>
      </c>
    </row>
    <row r="345" spans="1:2">
      <c r="A345" s="412" t="s">
        <v>511</v>
      </c>
      <c r="B345" s="477" t="s">
        <v>495</v>
      </c>
    </row>
    <row r="346" spans="1:2">
      <c r="A346" s="412" t="s">
        <v>512</v>
      </c>
      <c r="B346" s="477" t="s">
        <v>495</v>
      </c>
    </row>
    <row r="347" spans="1:2">
      <c r="A347" s="412" t="s">
        <v>513</v>
      </c>
      <c r="B347" s="477" t="s">
        <v>495</v>
      </c>
    </row>
    <row r="348" spans="1:2">
      <c r="A348" s="412" t="s">
        <v>514</v>
      </c>
      <c r="B348" s="477" t="s">
        <v>495</v>
      </c>
    </row>
    <row r="349" spans="1:2">
      <c r="A349" s="412" t="s">
        <v>515</v>
      </c>
      <c r="B349" s="477" t="s">
        <v>495</v>
      </c>
    </row>
    <row r="350" spans="1:2">
      <c r="A350" s="412" t="s">
        <v>516</v>
      </c>
      <c r="B350" s="477" t="s">
        <v>495</v>
      </c>
    </row>
    <row r="351" spans="1:2">
      <c r="A351" s="412" t="s">
        <v>517</v>
      </c>
      <c r="B351" s="477" t="s">
        <v>495</v>
      </c>
    </row>
    <row r="352" spans="1:2">
      <c r="A352" s="412" t="s">
        <v>518</v>
      </c>
      <c r="B352" s="477" t="s">
        <v>495</v>
      </c>
    </row>
    <row r="353" spans="1:7">
      <c r="A353" s="412" t="s">
        <v>519</v>
      </c>
      <c r="B353" s="477" t="s">
        <v>495</v>
      </c>
    </row>
    <row r="354" spans="1:7">
      <c r="A354" s="412" t="s">
        <v>520</v>
      </c>
      <c r="B354" s="477" t="s">
        <v>495</v>
      </c>
    </row>
    <row r="355" spans="1:7">
      <c r="A355" s="412" t="s">
        <v>521</v>
      </c>
      <c r="B355" s="477" t="s">
        <v>495</v>
      </c>
    </row>
    <row r="356" spans="1:7">
      <c r="A356" s="412" t="s">
        <v>522</v>
      </c>
      <c r="B356" s="477" t="s">
        <v>495</v>
      </c>
    </row>
    <row r="357" spans="1:7">
      <c r="A357" s="412" t="s">
        <v>523</v>
      </c>
      <c r="B357" s="477" t="s">
        <v>495</v>
      </c>
    </row>
    <row r="358" spans="1:7">
      <c r="A358" s="412" t="s">
        <v>524</v>
      </c>
      <c r="B358" s="477" t="s">
        <v>495</v>
      </c>
    </row>
    <row r="359" spans="1:7">
      <c r="A359" s="412" t="s">
        <v>525</v>
      </c>
      <c r="B359" s="477" t="s">
        <v>495</v>
      </c>
    </row>
    <row r="360" spans="1:7">
      <c r="A360" s="412" t="s">
        <v>526</v>
      </c>
      <c r="B360" s="477" t="s">
        <v>495</v>
      </c>
    </row>
    <row r="361" spans="1:7">
      <c r="A361" s="412" t="s">
        <v>527</v>
      </c>
      <c r="B361" s="477" t="s">
        <v>495</v>
      </c>
    </row>
    <row r="362" spans="1:7">
      <c r="A362" s="412" t="s">
        <v>528</v>
      </c>
      <c r="B362" s="477" t="s">
        <v>495</v>
      </c>
    </row>
    <row r="363" spans="1:7">
      <c r="A363" s="412" t="s">
        <v>529</v>
      </c>
      <c r="B363" s="477" t="s">
        <v>495</v>
      </c>
    </row>
    <row r="364" spans="1:7">
      <c r="A364" s="412" t="s">
        <v>530</v>
      </c>
      <c r="B364" s="477" t="s">
        <v>495</v>
      </c>
    </row>
    <row r="368" spans="1:7">
      <c r="A368" s="453"/>
      <c r="B368" s="453"/>
      <c r="C368" s="453"/>
      <c r="D368" s="453"/>
      <c r="E368" s="453"/>
      <c r="F368" s="453"/>
      <c r="G368" s="453"/>
    </row>
    <row r="369" spans="1:7">
      <c r="A369" s="453"/>
      <c r="B369" s="453"/>
      <c r="C369" s="453"/>
      <c r="D369" s="453"/>
      <c r="E369" s="453"/>
      <c r="F369" s="453"/>
      <c r="G369" s="453"/>
    </row>
    <row r="370" spans="1:7">
      <c r="A370" s="453"/>
      <c r="B370" s="453"/>
      <c r="C370" s="453"/>
      <c r="D370" s="453"/>
      <c r="E370" s="453"/>
      <c r="F370" s="453"/>
      <c r="G370" s="453"/>
    </row>
    <row r="371" spans="1:7">
      <c r="A371" s="453"/>
      <c r="B371" s="453"/>
      <c r="C371" s="453"/>
      <c r="D371" s="453"/>
      <c r="E371" s="453"/>
      <c r="F371" s="453"/>
      <c r="G371" s="453"/>
    </row>
    <row r="372" spans="1:7">
      <c r="A372" s="453"/>
      <c r="B372" s="453"/>
      <c r="C372" s="453"/>
      <c r="D372" s="453"/>
      <c r="E372" s="453"/>
      <c r="F372" s="453"/>
      <c r="G372" s="453"/>
    </row>
    <row r="373" spans="1:7">
      <c r="A373" s="453"/>
      <c r="B373" s="453"/>
      <c r="C373" s="453"/>
      <c r="D373" s="453"/>
      <c r="E373" s="453"/>
      <c r="F373" s="453"/>
      <c r="G373" s="453"/>
    </row>
    <row r="374" spans="1:7">
      <c r="A374" s="453"/>
      <c r="B374" s="453"/>
      <c r="C374" s="453"/>
      <c r="D374" s="453"/>
      <c r="E374" s="453"/>
      <c r="F374" s="453"/>
      <c r="G374" s="453"/>
    </row>
    <row r="375" spans="1:7">
      <c r="A375" s="453"/>
      <c r="B375" s="453"/>
      <c r="C375" s="453"/>
      <c r="D375" s="453"/>
      <c r="E375" s="453"/>
      <c r="F375" s="453"/>
      <c r="G375" s="453"/>
    </row>
    <row r="376" spans="1:7">
      <c r="A376" s="453"/>
      <c r="B376" s="453"/>
      <c r="C376" s="453"/>
      <c r="D376" s="453"/>
      <c r="E376" s="453"/>
      <c r="F376" s="453"/>
      <c r="G376" s="453"/>
    </row>
    <row r="377" spans="1:7">
      <c r="A377" s="453"/>
      <c r="B377" s="453"/>
      <c r="C377" s="453"/>
      <c r="D377" s="453"/>
      <c r="E377" s="453"/>
      <c r="F377" s="453"/>
      <c r="G377" s="453"/>
    </row>
    <row r="378" spans="1:7">
      <c r="A378" s="453"/>
      <c r="B378" s="453"/>
      <c r="C378" s="453"/>
      <c r="D378" s="453"/>
      <c r="E378" s="453"/>
      <c r="F378" s="453"/>
      <c r="G378" s="453"/>
    </row>
    <row r="379" spans="1:7">
      <c r="A379" s="453"/>
      <c r="B379" s="453"/>
      <c r="C379" s="453"/>
      <c r="D379" s="453"/>
      <c r="E379" s="453"/>
      <c r="F379" s="453"/>
      <c r="G379" s="453"/>
    </row>
    <row r="380" spans="1:7">
      <c r="A380" s="453"/>
      <c r="B380" s="453"/>
      <c r="C380" s="453"/>
      <c r="D380" s="453"/>
      <c r="E380" s="453"/>
      <c r="F380" s="453"/>
      <c r="G380" s="453"/>
    </row>
    <row r="381" spans="1:7">
      <c r="A381" s="453"/>
      <c r="B381" s="453"/>
      <c r="C381" s="453"/>
      <c r="D381" s="453"/>
      <c r="E381" s="453"/>
      <c r="F381" s="453"/>
      <c r="G381" s="453"/>
    </row>
    <row r="382" spans="1:7">
      <c r="A382" s="453"/>
      <c r="B382" s="453"/>
      <c r="C382" s="453"/>
      <c r="D382" s="453"/>
      <c r="E382" s="453"/>
      <c r="F382" s="453"/>
      <c r="G382" s="453"/>
    </row>
    <row r="383" spans="1:7">
      <c r="A383" s="453"/>
      <c r="B383" s="453"/>
      <c r="C383" s="453"/>
      <c r="D383" s="453"/>
      <c r="E383" s="453"/>
      <c r="F383" s="453"/>
      <c r="G383" s="453"/>
    </row>
    <row r="384" spans="1:7">
      <c r="A384" s="453"/>
      <c r="B384" s="453"/>
      <c r="C384" s="453"/>
      <c r="D384" s="453"/>
      <c r="E384" s="453"/>
      <c r="F384" s="453"/>
      <c r="G384" s="453"/>
    </row>
    <row r="385" spans="1:7">
      <c r="A385" s="453"/>
      <c r="B385" s="453"/>
      <c r="C385" s="453"/>
      <c r="D385" s="453"/>
      <c r="E385" s="453"/>
      <c r="F385" s="453"/>
      <c r="G385" s="453"/>
    </row>
    <row r="386" spans="1:7">
      <c r="A386" s="453"/>
      <c r="B386" s="453"/>
      <c r="C386" s="453"/>
      <c r="D386" s="453"/>
      <c r="E386" s="453"/>
      <c r="F386" s="453"/>
      <c r="G386" s="453"/>
    </row>
    <row r="387" spans="1:7">
      <c r="A387" s="453"/>
      <c r="B387" s="453"/>
      <c r="C387" s="453"/>
      <c r="D387" s="453"/>
      <c r="E387" s="453"/>
      <c r="F387" s="453"/>
      <c r="G387" s="453"/>
    </row>
    <row r="388" spans="1:7">
      <c r="A388" s="453"/>
      <c r="B388" s="453"/>
      <c r="C388" s="453"/>
      <c r="D388" s="453"/>
      <c r="E388" s="453"/>
      <c r="F388" s="453"/>
      <c r="G388" s="453"/>
    </row>
    <row r="389" spans="1:7">
      <c r="A389" s="453"/>
      <c r="B389" s="453"/>
      <c r="C389" s="453"/>
      <c r="D389" s="453"/>
      <c r="E389" s="453"/>
      <c r="F389" s="453"/>
      <c r="G389" s="453"/>
    </row>
    <row r="390" spans="1:7">
      <c r="A390" s="453"/>
      <c r="B390" s="453"/>
      <c r="C390" s="453"/>
      <c r="D390" s="453"/>
      <c r="E390" s="453"/>
      <c r="F390" s="453"/>
      <c r="G390" s="453"/>
    </row>
    <row r="391" spans="1:7">
      <c r="A391" s="453"/>
      <c r="B391" s="453"/>
      <c r="C391" s="453"/>
      <c r="D391" s="453"/>
      <c r="E391" s="453"/>
      <c r="F391" s="453"/>
      <c r="G391" s="453"/>
    </row>
    <row r="392" spans="1:7">
      <c r="A392" s="453"/>
      <c r="B392" s="453"/>
      <c r="C392" s="453"/>
      <c r="D392" s="453"/>
      <c r="E392" s="453"/>
      <c r="F392" s="453"/>
      <c r="G392" s="453"/>
    </row>
    <row r="393" spans="1:7">
      <c r="A393" s="453"/>
      <c r="B393" s="453"/>
      <c r="C393" s="453"/>
      <c r="D393" s="453"/>
      <c r="E393" s="453"/>
      <c r="F393" s="453"/>
      <c r="G393" s="453"/>
    </row>
    <row r="394" spans="1:7">
      <c r="A394" s="453"/>
      <c r="B394" s="453"/>
      <c r="C394" s="453"/>
      <c r="D394" s="453"/>
      <c r="E394" s="453"/>
      <c r="F394" s="453"/>
      <c r="G394" s="453"/>
    </row>
    <row r="395" spans="1:7">
      <c r="A395" s="453"/>
      <c r="B395" s="453"/>
      <c r="C395" s="453"/>
      <c r="D395" s="453"/>
      <c r="E395" s="453"/>
      <c r="F395" s="453"/>
      <c r="G395" s="453"/>
    </row>
    <row r="396" spans="1:7">
      <c r="A396" s="453"/>
      <c r="B396" s="453"/>
      <c r="C396" s="453"/>
      <c r="D396" s="453"/>
      <c r="E396" s="453"/>
      <c r="F396" s="453"/>
      <c r="G396" s="453"/>
    </row>
    <row r="397" spans="1:7">
      <c r="A397" s="453"/>
      <c r="B397" s="453"/>
      <c r="C397" s="453"/>
      <c r="D397" s="453"/>
      <c r="E397" s="453"/>
      <c r="F397" s="453"/>
      <c r="G397" s="453"/>
    </row>
    <row r="398" spans="1:7">
      <c r="A398" s="453"/>
      <c r="B398" s="453"/>
      <c r="C398" s="453"/>
      <c r="D398" s="453"/>
      <c r="E398" s="453"/>
      <c r="F398" s="453"/>
      <c r="G398" s="453"/>
    </row>
    <row r="399" spans="1:7">
      <c r="A399" s="453"/>
      <c r="B399" s="453"/>
      <c r="C399" s="453"/>
      <c r="D399" s="453"/>
      <c r="E399" s="453"/>
      <c r="F399" s="453"/>
      <c r="G399" s="453"/>
    </row>
    <row r="400" spans="1:7">
      <c r="A400" s="453"/>
      <c r="B400" s="453"/>
      <c r="C400" s="453"/>
      <c r="D400" s="453"/>
      <c r="E400" s="453"/>
      <c r="F400" s="453"/>
      <c r="G400" s="453"/>
    </row>
    <row r="401" spans="1:7">
      <c r="A401" s="453"/>
      <c r="B401" s="453"/>
      <c r="C401" s="453"/>
      <c r="D401" s="453"/>
      <c r="E401" s="453"/>
      <c r="F401" s="453"/>
      <c r="G401" s="453"/>
    </row>
    <row r="402" spans="1:7">
      <c r="A402" s="453"/>
      <c r="B402" s="453"/>
      <c r="C402" s="453"/>
      <c r="D402" s="453"/>
      <c r="E402" s="453"/>
      <c r="F402" s="453"/>
      <c r="G402" s="453"/>
    </row>
    <row r="403" spans="1:7">
      <c r="A403" s="453"/>
      <c r="B403" s="453"/>
      <c r="C403" s="453"/>
      <c r="D403" s="453"/>
      <c r="E403" s="453"/>
      <c r="F403" s="453"/>
      <c r="G403" s="453"/>
    </row>
    <row r="404" spans="1:7">
      <c r="A404" s="453"/>
      <c r="B404" s="453"/>
      <c r="C404" s="453"/>
      <c r="D404" s="453"/>
      <c r="E404" s="453"/>
      <c r="F404" s="453"/>
      <c r="G404" s="453"/>
    </row>
    <row r="405" spans="1:7">
      <c r="A405" s="453"/>
      <c r="B405" s="453"/>
      <c r="C405" s="453"/>
      <c r="D405" s="453"/>
      <c r="E405" s="453"/>
      <c r="F405" s="453"/>
      <c r="G405" s="453"/>
    </row>
    <row r="406" spans="1:7">
      <c r="A406" s="453"/>
      <c r="B406" s="453"/>
      <c r="C406" s="453"/>
      <c r="D406" s="453"/>
      <c r="E406" s="453"/>
      <c r="F406" s="453"/>
      <c r="G406" s="453"/>
    </row>
    <row r="407" spans="1:7">
      <c r="A407" s="453"/>
      <c r="B407" s="453"/>
      <c r="C407" s="453"/>
      <c r="D407" s="453"/>
      <c r="E407" s="453"/>
      <c r="F407" s="453"/>
      <c r="G407" s="453"/>
    </row>
    <row r="408" spans="1:7">
      <c r="A408" s="453"/>
      <c r="B408" s="453"/>
      <c r="C408" s="453"/>
      <c r="D408" s="453"/>
      <c r="E408" s="453"/>
      <c r="F408" s="453"/>
      <c r="G408" s="453"/>
    </row>
    <row r="409" spans="1:7">
      <c r="A409" s="453"/>
      <c r="B409" s="453"/>
      <c r="C409" s="453"/>
      <c r="D409" s="453"/>
      <c r="E409" s="453"/>
      <c r="F409" s="453"/>
      <c r="G409" s="453"/>
    </row>
    <row r="410" spans="1:7">
      <c r="A410" s="453"/>
      <c r="B410" s="453"/>
      <c r="C410" s="453"/>
      <c r="D410" s="453"/>
      <c r="E410" s="453"/>
      <c r="F410" s="453"/>
      <c r="G410" s="453"/>
    </row>
    <row r="411" spans="1:7">
      <c r="A411" s="453"/>
      <c r="B411" s="453"/>
      <c r="C411" s="453"/>
      <c r="D411" s="453"/>
      <c r="E411" s="453"/>
      <c r="F411" s="453"/>
      <c r="G411" s="453"/>
    </row>
    <row r="412" spans="1:7">
      <c r="A412" s="453"/>
      <c r="B412" s="453"/>
      <c r="C412" s="453"/>
      <c r="D412" s="453"/>
      <c r="E412" s="453"/>
      <c r="F412" s="453"/>
      <c r="G412" s="453"/>
    </row>
  </sheetData>
  <protectedRanges>
    <protectedRange sqref="B312:D317 F312:G317" name="Range12"/>
    <protectedRange sqref="B209:C215 F209:G215 B221:C227 C229 B234:C238 C218 B244:C284 B243 C220" name="Range10"/>
    <protectedRange sqref="B168:D172 F168:G172 C164" name="Range8"/>
    <protectedRange sqref="C89 C93 B101:D110 F101:G110 B130:D136 B156 F130:G136 F156:G162 C112:C128 C139:C154" name="Range6"/>
    <protectedRange sqref="B18:B25" name="Basic Facts 2"/>
    <protectedRange sqref="C17:C25" name="Basic facts"/>
    <protectedRange sqref="C38:C39 B31:C35 C53" name="Regulatory Sumary"/>
    <protectedRange sqref="C3 B18:B25 C17:C25 C42:C43 B49:B51 C45:C51 D46:D51 B59:D64 F59:G64 C66 B78:D87 F66:F76 F79:G87 C93 C38:C39 C70:C76 B31:C35 F45:G51 F53:G57 F58 C53:D57 F78" name="HTT General"/>
    <protectedRange sqref="C156:D156 B157:D162 C138 C165:C166" name="Range7"/>
    <protectedRange sqref="B180:D191 F180:G191" name="Range9"/>
    <protectedRange sqref="C311 B320:G364" name="Range11"/>
    <protectedRange sqref="C45:C51 B49:B51 F45:G45 D46:G51" name="Range13"/>
    <protectedRange sqref="C14:C15" name="Basic facts_1"/>
    <protectedRange sqref="C14:C15" name="HTT General_1"/>
    <protectedRange sqref="C16" name="Basic facts_1_1"/>
    <protectedRange sqref="C16" name="HTT General_1_1"/>
    <protectedRange sqref="C30" name="Regulatory Sumary_1"/>
    <protectedRange sqref="C30" name="HTT General_2"/>
    <protectedRange sqref="C40:C41" name="HTT General_3"/>
    <protectedRange sqref="D66 G66 G70:G78 D70:D77" name="HTT General_4"/>
    <protectedRange sqref="D89 D93:D100 G93:G100" name="Range6_1"/>
    <protectedRange sqref="D93:D100 G93:G100" name="HTT General_5"/>
    <protectedRange sqref="D112:D129" name="Range6_2"/>
    <protectedRange sqref="D138" name="Range8_1"/>
    <protectedRange sqref="D139:D155" name="Range7_1"/>
    <protectedRange sqref="D164:D167" name="Range8_2"/>
    <protectedRange sqref="C243" name="Range10_1"/>
    <protectedRange sqref="K46" name="HTT General_6"/>
    <protectedRange sqref="K46" name="Range13_1"/>
  </protectedRanges>
  <hyperlinks>
    <hyperlink ref="B6" location="'A. General Mortgage'!B13" display="1. Basic Facts" xr:uid="{8A72EF44-2924-4058-A572-F0623C8293FA}"/>
    <hyperlink ref="B7" location="'A. General Mortgage'!B26" display="2. Regulatory Summary" xr:uid="{9A4176AD-5FB9-4976-B1F0-00102824569D}"/>
    <hyperlink ref="B8" location="'A. General Mortgage'!B36" display="3. General Cover Pool / Covered Bond Information" xr:uid="{3B3E36D8-FF50-4F53-A1C6-97BB6C8D1675}"/>
    <hyperlink ref="B9" location="'A. General Mortgage'!B285" display="4. References to Capital Requirements Regulation (CRR) 129(7)" xr:uid="{E244855E-BCD3-4884-ACE1-B6884DDAB8FC}"/>
    <hyperlink ref="B11" location="'A. General Mortgage'!B319" display="6. Other relevant information" xr:uid="{E76CBFA2-3F4C-440F-8416-511F7FE96A16}"/>
    <hyperlink ref="B10" location="'A. General Mortgage'!B311" display="5. References to Capital Requirements Regulation (CRR) 129(1)" xr:uid="{6F9CE5E9-9DA5-44F5-8DDA-82009A0DB8DC}"/>
    <hyperlink ref="C16" r:id="rId1" xr:uid="{6209FE42-3ACE-4144-A293-9AB09B491EA7}"/>
    <hyperlink ref="B28" r:id="rId2" xr:uid="{4E86F27A-0937-4D52-A4A5-A9AAEB18D28A}"/>
    <hyperlink ref="B29" r:id="rId3" xr:uid="{78F6A93E-E520-4C94-A46B-54284E5ACFB8}"/>
    <hyperlink ref="C229" location="'C. ISIN List'!A1" display="C. ISIN List" xr:uid="{F29F017C-5C03-4923-98B2-1BAD34005B1A}"/>
    <hyperlink ref="C30" r:id="rId4" xr:uid="{33B867CC-E93A-4ABA-9404-2042649697B1}"/>
    <hyperlink ref="C243" r:id="rId5" xr:uid="{F4093188-FAA8-43CC-89DE-50DF1B0835FB}"/>
  </hyperlinks>
  <pageMargins left="0.7" right="0.7" top="0.78740157499999996" bottom="0.78740157499999996" header="0.3" footer="0.3"/>
  <pageSetup orientation="portrait" horizontalDpi="200" verticalDpi="200"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B1D36-7700-4A26-9770-7EDADB434B99}">
  <sheetPr codeName="Tabelle6">
    <tabColor rgb="FFC00000"/>
  </sheetPr>
  <dimension ref="A1:G235"/>
  <sheetViews>
    <sheetView topLeftCell="A141" workbookViewId="0">
      <selection activeCell="C173" sqref="C173"/>
    </sheetView>
  </sheetViews>
  <sheetFormatPr baseColWidth="10" defaultColWidth="11.5703125" defaultRowHeight="15"/>
  <cols>
    <col min="1" max="1" width="12.140625" style="412" customWidth="1"/>
    <col min="2" max="2" width="60.7109375" style="412" customWidth="1"/>
    <col min="3" max="4" width="40.7109375" style="412" customWidth="1"/>
    <col min="5" max="5" width="7.28515625" style="412" customWidth="1"/>
    <col min="6" max="6" width="40.7109375" style="412" customWidth="1"/>
    <col min="7" max="7" width="40.7109375" style="405" customWidth="1"/>
    <col min="8" max="16384" width="11.5703125" style="407"/>
  </cols>
  <sheetData>
    <row r="1" spans="1:7" ht="31.5">
      <c r="A1" s="404" t="s">
        <v>589</v>
      </c>
      <c r="B1" s="404"/>
      <c r="C1" s="405"/>
      <c r="D1" s="405"/>
      <c r="E1" s="405"/>
      <c r="F1" s="406"/>
    </row>
    <row r="2" spans="1:7" ht="15.75" thickBot="1">
      <c r="A2" s="405"/>
      <c r="B2" s="405"/>
      <c r="C2" s="405"/>
      <c r="D2" s="405"/>
      <c r="E2" s="405"/>
      <c r="F2" s="405"/>
    </row>
    <row r="3" spans="1:7" ht="19.5" thickBot="1">
      <c r="A3" s="409"/>
      <c r="B3" s="410" t="s">
        <v>36</v>
      </c>
      <c r="C3" s="411" t="s">
        <v>37</v>
      </c>
      <c r="D3" s="409"/>
      <c r="E3" s="409"/>
      <c r="F3" s="409"/>
      <c r="G3" s="409"/>
    </row>
    <row r="4" spans="1:7" ht="15.75" thickBot="1"/>
    <row r="5" spans="1:7" ht="18.75">
      <c r="B5" s="414" t="s">
        <v>590</v>
      </c>
      <c r="C5" s="413"/>
      <c r="E5" s="415"/>
      <c r="F5" s="415"/>
    </row>
    <row r="6" spans="1:7" ht="15.75" thickBot="1">
      <c r="B6" s="418" t="s">
        <v>591</v>
      </c>
    </row>
    <row r="7" spans="1:7">
      <c r="B7" s="479"/>
    </row>
    <row r="8" spans="1:7" ht="37.5">
      <c r="A8" s="420" t="s">
        <v>46</v>
      </c>
      <c r="B8" s="420" t="s">
        <v>591</v>
      </c>
      <c r="C8" s="421"/>
      <c r="D8" s="421"/>
      <c r="E8" s="421"/>
      <c r="F8" s="421"/>
      <c r="G8" s="422"/>
    </row>
    <row r="9" spans="1:7">
      <c r="A9" s="433"/>
      <c r="B9" s="434" t="s">
        <v>592</v>
      </c>
      <c r="C9" s="433"/>
      <c r="D9" s="433"/>
      <c r="E9" s="433"/>
      <c r="F9" s="436"/>
      <c r="G9" s="436"/>
    </row>
    <row r="10" spans="1:7" s="499" customFormat="1">
      <c r="A10" s="492" t="s">
        <v>593</v>
      </c>
      <c r="B10" s="492" t="s">
        <v>28</v>
      </c>
      <c r="C10" s="497">
        <v>4107</v>
      </c>
      <c r="D10" s="492"/>
      <c r="E10" s="498"/>
      <c r="F10" s="498"/>
      <c r="G10" s="492"/>
    </row>
    <row r="11" spans="1:7" s="499" customFormat="1">
      <c r="A11" s="492" t="s">
        <v>594</v>
      </c>
      <c r="B11" s="500" t="s">
        <v>531</v>
      </c>
      <c r="C11" s="501"/>
      <c r="D11" s="492"/>
      <c r="E11" s="498"/>
      <c r="F11" s="498"/>
      <c r="G11" s="492"/>
    </row>
    <row r="12" spans="1:7" s="499" customFormat="1">
      <c r="A12" s="492" t="s">
        <v>595</v>
      </c>
      <c r="B12" s="500" t="s">
        <v>532</v>
      </c>
      <c r="C12" s="501"/>
      <c r="D12" s="492"/>
      <c r="E12" s="498"/>
      <c r="F12" s="498"/>
      <c r="G12" s="492"/>
    </row>
    <row r="13" spans="1:7" s="499" customFormat="1">
      <c r="A13" s="492" t="s">
        <v>596</v>
      </c>
      <c r="B13" s="492"/>
      <c r="C13" s="492"/>
      <c r="D13" s="492"/>
      <c r="E13" s="498"/>
      <c r="F13" s="498"/>
      <c r="G13" s="492"/>
    </row>
    <row r="14" spans="1:7" s="499" customFormat="1">
      <c r="A14" s="492" t="s">
        <v>597</v>
      </c>
      <c r="B14" s="492"/>
      <c r="C14" s="492"/>
      <c r="D14" s="492"/>
      <c r="E14" s="498"/>
      <c r="F14" s="498"/>
      <c r="G14" s="492"/>
    </row>
    <row r="15" spans="1:7" s="499" customFormat="1">
      <c r="A15" s="492" t="s">
        <v>598</v>
      </c>
      <c r="B15" s="492"/>
      <c r="C15" s="492"/>
      <c r="D15" s="492"/>
      <c r="E15" s="498"/>
      <c r="F15" s="498"/>
      <c r="G15" s="492"/>
    </row>
    <row r="16" spans="1:7" s="499" customFormat="1">
      <c r="A16" s="492" t="s">
        <v>599</v>
      </c>
      <c r="B16" s="492"/>
      <c r="C16" s="492"/>
      <c r="D16" s="492"/>
      <c r="E16" s="498"/>
      <c r="F16" s="498"/>
      <c r="G16" s="492"/>
    </row>
    <row r="17" spans="1:7" s="499" customFormat="1">
      <c r="A17" s="492" t="s">
        <v>600</v>
      </c>
      <c r="B17" s="492"/>
      <c r="C17" s="492"/>
      <c r="D17" s="492"/>
      <c r="E17" s="498"/>
      <c r="F17" s="498"/>
      <c r="G17" s="492"/>
    </row>
    <row r="18" spans="1:7">
      <c r="A18" s="436"/>
      <c r="B18" s="436" t="s">
        <v>601</v>
      </c>
      <c r="C18" s="436" t="s">
        <v>579</v>
      </c>
      <c r="D18" s="436" t="s">
        <v>31</v>
      </c>
      <c r="E18" s="436"/>
      <c r="F18" s="436" t="s">
        <v>602</v>
      </c>
      <c r="G18" s="436" t="s">
        <v>603</v>
      </c>
    </row>
    <row r="19" spans="1:7" s="499" customFormat="1">
      <c r="A19" s="492" t="s">
        <v>604</v>
      </c>
      <c r="B19" s="492" t="s">
        <v>29</v>
      </c>
      <c r="C19" s="486">
        <v>719760171.65814507</v>
      </c>
      <c r="D19" s="502"/>
      <c r="E19" s="494"/>
      <c r="F19" s="494"/>
      <c r="G19" s="494"/>
    </row>
    <row r="20" spans="1:7" s="499" customFormat="1">
      <c r="A20" s="494"/>
      <c r="B20" s="503"/>
      <c r="C20" s="486"/>
      <c r="D20" s="494"/>
      <c r="E20" s="494"/>
      <c r="F20" s="494"/>
      <c r="G20" s="494"/>
    </row>
    <row r="21" spans="1:7" s="499" customFormat="1">
      <c r="A21" s="492"/>
      <c r="B21" s="492" t="s">
        <v>30</v>
      </c>
      <c r="C21" s="486"/>
      <c r="D21" s="494"/>
      <c r="E21" s="494"/>
      <c r="F21" s="494"/>
      <c r="G21" s="494"/>
    </row>
    <row r="22" spans="1:7" s="499" customFormat="1">
      <c r="A22" s="492" t="s">
        <v>605</v>
      </c>
      <c r="B22" s="492" t="s">
        <v>580</v>
      </c>
      <c r="C22" s="504">
        <v>45.713510429999978</v>
      </c>
      <c r="D22" s="492">
        <v>842</v>
      </c>
      <c r="E22" s="498"/>
      <c r="F22" s="487">
        <v>1.5464363837408594E-2</v>
      </c>
      <c r="G22" s="487">
        <v>0.20501582663744825</v>
      </c>
    </row>
    <row r="23" spans="1:7" s="499" customFormat="1">
      <c r="A23" s="492" t="s">
        <v>606</v>
      </c>
      <c r="B23" s="492" t="s">
        <v>581</v>
      </c>
      <c r="C23" s="504">
        <v>270.16152082000008</v>
      </c>
      <c r="D23" s="492">
        <v>1500</v>
      </c>
      <c r="E23" s="498"/>
      <c r="F23" s="487">
        <v>9.1392588613941672E-2</v>
      </c>
      <c r="G23" s="487">
        <v>0.36523009495982467</v>
      </c>
    </row>
    <row r="24" spans="1:7" s="499" customFormat="1">
      <c r="A24" s="492" t="s">
        <v>607</v>
      </c>
      <c r="B24" s="492" t="s">
        <v>582</v>
      </c>
      <c r="C24" s="504">
        <v>253.16812082999994</v>
      </c>
      <c r="D24" s="492">
        <v>652</v>
      </c>
      <c r="E24" s="492"/>
      <c r="F24" s="487">
        <v>8.5643913489059573E-2</v>
      </c>
      <c r="G24" s="487">
        <v>0.15875334794253712</v>
      </c>
    </row>
    <row r="25" spans="1:7" s="499" customFormat="1">
      <c r="A25" s="492" t="s">
        <v>608</v>
      </c>
      <c r="B25" s="492" t="s">
        <v>583</v>
      </c>
      <c r="C25" s="504">
        <v>442.88804506000042</v>
      </c>
      <c r="D25" s="492">
        <v>634</v>
      </c>
      <c r="E25" s="443"/>
      <c r="F25" s="487">
        <v>0.14982401928056113</v>
      </c>
      <c r="G25" s="487">
        <v>0.15437058680301924</v>
      </c>
    </row>
    <row r="26" spans="1:7" s="499" customFormat="1">
      <c r="A26" s="492" t="s">
        <v>609</v>
      </c>
      <c r="B26" s="492" t="s">
        <v>584</v>
      </c>
      <c r="C26" s="504">
        <v>826.19796234000023</v>
      </c>
      <c r="D26" s="492">
        <v>425</v>
      </c>
      <c r="E26" s="443"/>
      <c r="F26" s="487">
        <v>0.27949343139849014</v>
      </c>
      <c r="G26" s="487">
        <v>0.103481860238617</v>
      </c>
    </row>
    <row r="27" spans="1:7" s="499" customFormat="1">
      <c r="A27" s="492" t="s">
        <v>610</v>
      </c>
      <c r="B27" s="492" t="s">
        <v>585</v>
      </c>
      <c r="C27" s="504">
        <v>1117.9258655200001</v>
      </c>
      <c r="D27" s="492">
        <v>54</v>
      </c>
      <c r="E27" s="443"/>
      <c r="F27" s="487">
        <v>0.3781816833805382</v>
      </c>
      <c r="G27" s="487">
        <v>1.3148283418553688E-2</v>
      </c>
    </row>
    <row r="28" spans="1:7" s="499" customFormat="1">
      <c r="A28" s="492" t="s">
        <v>611</v>
      </c>
      <c r="B28" s="498" t="s">
        <v>586</v>
      </c>
      <c r="C28" s="486"/>
      <c r="D28" s="492"/>
      <c r="E28" s="443"/>
      <c r="F28" s="487"/>
      <c r="G28" s="487"/>
    </row>
    <row r="29" spans="1:7" s="499" customFormat="1">
      <c r="A29" s="492" t="s">
        <v>612</v>
      </c>
      <c r="B29" s="498" t="s">
        <v>586</v>
      </c>
      <c r="C29" s="486"/>
      <c r="D29" s="494"/>
      <c r="E29" s="443"/>
      <c r="F29" s="487"/>
      <c r="G29" s="487"/>
    </row>
    <row r="30" spans="1:7" s="499" customFormat="1">
      <c r="A30" s="492" t="s">
        <v>613</v>
      </c>
      <c r="B30" s="498" t="s">
        <v>586</v>
      </c>
      <c r="C30" s="486"/>
      <c r="D30" s="494"/>
      <c r="E30" s="443"/>
      <c r="F30" s="487"/>
      <c r="G30" s="487"/>
    </row>
    <row r="31" spans="1:7" s="499" customFormat="1">
      <c r="A31" s="492" t="s">
        <v>614</v>
      </c>
      <c r="B31" s="498" t="s">
        <v>586</v>
      </c>
      <c r="C31" s="486"/>
      <c r="D31" s="494"/>
      <c r="E31" s="443"/>
      <c r="F31" s="487"/>
      <c r="G31" s="487"/>
    </row>
    <row r="32" spans="1:7" s="499" customFormat="1">
      <c r="A32" s="492" t="s">
        <v>615</v>
      </c>
      <c r="B32" s="498" t="s">
        <v>586</v>
      </c>
      <c r="C32" s="486"/>
      <c r="D32" s="494"/>
      <c r="E32" s="443"/>
      <c r="F32" s="487"/>
      <c r="G32" s="487"/>
    </row>
    <row r="33" spans="1:7" s="499" customFormat="1">
      <c r="A33" s="492" t="s">
        <v>616</v>
      </c>
      <c r="B33" s="498" t="s">
        <v>586</v>
      </c>
      <c r="C33" s="486"/>
      <c r="D33" s="494"/>
      <c r="E33" s="443"/>
      <c r="F33" s="487"/>
      <c r="G33" s="487"/>
    </row>
    <row r="34" spans="1:7" s="499" customFormat="1">
      <c r="A34" s="492" t="s">
        <v>617</v>
      </c>
      <c r="B34" s="498" t="s">
        <v>586</v>
      </c>
      <c r="C34" s="486"/>
      <c r="D34" s="494"/>
      <c r="E34" s="443"/>
      <c r="F34" s="487"/>
      <c r="G34" s="487"/>
    </row>
    <row r="35" spans="1:7" s="499" customFormat="1">
      <c r="A35" s="492" t="s">
        <v>618</v>
      </c>
      <c r="B35" s="498" t="s">
        <v>586</v>
      </c>
      <c r="C35" s="486"/>
      <c r="D35" s="494"/>
      <c r="E35" s="443"/>
      <c r="F35" s="487"/>
      <c r="G35" s="487"/>
    </row>
    <row r="36" spans="1:7" s="499" customFormat="1">
      <c r="A36" s="492" t="s">
        <v>619</v>
      </c>
      <c r="B36" s="498" t="s">
        <v>586</v>
      </c>
      <c r="C36" s="486"/>
      <c r="D36" s="494"/>
      <c r="E36" s="443"/>
      <c r="F36" s="487"/>
      <c r="G36" s="487"/>
    </row>
    <row r="37" spans="1:7" s="499" customFormat="1">
      <c r="A37" s="492" t="s">
        <v>620</v>
      </c>
      <c r="B37" s="505" t="s">
        <v>123</v>
      </c>
      <c r="C37" s="504">
        <v>2956.0550250000006</v>
      </c>
      <c r="D37" s="506">
        <v>4107</v>
      </c>
      <c r="E37" s="504"/>
      <c r="F37" s="507">
        <v>0.99999999999999933</v>
      </c>
      <c r="G37" s="507">
        <v>1</v>
      </c>
    </row>
    <row r="38" spans="1:7">
      <c r="A38" s="436"/>
      <c r="B38" s="455" t="s">
        <v>32</v>
      </c>
      <c r="C38" s="436" t="s">
        <v>83</v>
      </c>
      <c r="D38" s="436"/>
      <c r="E38" s="457"/>
      <c r="F38" s="436" t="s">
        <v>602</v>
      </c>
      <c r="G38" s="436"/>
    </row>
    <row r="39" spans="1:7" s="499" customFormat="1">
      <c r="A39" s="492" t="s">
        <v>621</v>
      </c>
      <c r="B39" s="498" t="s">
        <v>622</v>
      </c>
      <c r="C39" s="486">
        <v>2956055025.0000019</v>
      </c>
      <c r="D39" s="506">
        <v>4107</v>
      </c>
      <c r="E39" s="497"/>
      <c r="F39" s="487">
        <v>1</v>
      </c>
      <c r="G39" s="487">
        <v>1</v>
      </c>
    </row>
    <row r="40" spans="1:7" s="499" customFormat="1">
      <c r="A40" s="492" t="s">
        <v>623</v>
      </c>
      <c r="B40" s="498" t="s">
        <v>624</v>
      </c>
      <c r="C40" s="486">
        <v>0</v>
      </c>
      <c r="D40" s="501">
        <v>0</v>
      </c>
      <c r="E40" s="497"/>
      <c r="F40" s="487">
        <v>0</v>
      </c>
      <c r="G40" s="487">
        <v>0</v>
      </c>
    </row>
    <row r="41" spans="1:7" s="499" customFormat="1">
      <c r="A41" s="492" t="s">
        <v>625</v>
      </c>
      <c r="B41" s="498" t="s">
        <v>121</v>
      </c>
      <c r="C41" s="486">
        <v>0</v>
      </c>
      <c r="D41" s="501">
        <v>0</v>
      </c>
      <c r="E41" s="443"/>
      <c r="F41" s="487">
        <v>0</v>
      </c>
      <c r="G41" s="487">
        <v>0</v>
      </c>
    </row>
    <row r="42" spans="1:7" s="499" customFormat="1">
      <c r="A42" s="492" t="s">
        <v>626</v>
      </c>
      <c r="B42" s="505" t="s">
        <v>123</v>
      </c>
      <c r="C42" s="486">
        <v>2956055025.0000019</v>
      </c>
      <c r="D42" s="506">
        <v>4107</v>
      </c>
      <c r="E42" s="443"/>
      <c r="F42" s="487">
        <v>1</v>
      </c>
      <c r="G42" s="487">
        <v>1</v>
      </c>
    </row>
    <row r="43" spans="1:7" s="499" customFormat="1">
      <c r="A43" s="492" t="s">
        <v>627</v>
      </c>
      <c r="B43" s="505"/>
      <c r="C43" s="498"/>
      <c r="D43" s="498"/>
      <c r="E43" s="443"/>
      <c r="F43" s="454"/>
      <c r="G43" s="497"/>
    </row>
    <row r="44" spans="1:7" s="499" customFormat="1">
      <c r="A44" s="492" t="s">
        <v>628</v>
      </c>
      <c r="B44" s="505"/>
      <c r="C44" s="498"/>
      <c r="D44" s="498"/>
      <c r="E44" s="443"/>
      <c r="F44" s="454"/>
      <c r="G44" s="497"/>
    </row>
    <row r="45" spans="1:7" s="499" customFormat="1">
      <c r="A45" s="492" t="s">
        <v>629</v>
      </c>
      <c r="B45" s="498"/>
      <c r="C45" s="492"/>
      <c r="D45" s="492"/>
      <c r="E45" s="443"/>
      <c r="F45" s="508"/>
      <c r="G45" s="497"/>
    </row>
    <row r="46" spans="1:7" s="499" customFormat="1">
      <c r="A46" s="492" t="s">
        <v>630</v>
      </c>
      <c r="B46" s="498"/>
      <c r="C46" s="492"/>
      <c r="D46" s="492"/>
      <c r="E46" s="443"/>
      <c r="F46" s="508"/>
      <c r="G46" s="497"/>
    </row>
    <row r="47" spans="1:7" s="499" customFormat="1">
      <c r="A47" s="492" t="s">
        <v>631</v>
      </c>
      <c r="B47" s="498"/>
      <c r="C47" s="492"/>
      <c r="D47" s="492"/>
      <c r="E47" s="443"/>
      <c r="F47" s="508"/>
      <c r="G47" s="497"/>
    </row>
    <row r="48" spans="1:7">
      <c r="A48" s="436"/>
      <c r="B48" s="455" t="s">
        <v>33</v>
      </c>
      <c r="C48" s="436" t="s">
        <v>602</v>
      </c>
      <c r="D48" s="436"/>
      <c r="E48" s="457"/>
      <c r="F48" s="436"/>
      <c r="G48" s="436"/>
    </row>
    <row r="49" spans="1:6">
      <c r="A49" s="405" t="s">
        <v>632</v>
      </c>
      <c r="B49" s="478" t="s">
        <v>533</v>
      </c>
      <c r="C49" s="442">
        <v>1.0000000000000007</v>
      </c>
      <c r="D49" s="405"/>
      <c r="E49" s="405"/>
      <c r="F49" s="405"/>
    </row>
    <row r="50" spans="1:6">
      <c r="A50" s="405" t="s">
        <v>633</v>
      </c>
      <c r="B50" s="405" t="s">
        <v>49</v>
      </c>
      <c r="C50" s="442">
        <v>1</v>
      </c>
      <c r="D50" s="405"/>
      <c r="E50" s="405"/>
      <c r="F50" s="405"/>
    </row>
    <row r="51" spans="1:6">
      <c r="A51" s="405" t="s">
        <v>634</v>
      </c>
      <c r="B51" s="405" t="s">
        <v>534</v>
      </c>
      <c r="C51" s="492"/>
      <c r="D51" s="405"/>
      <c r="E51" s="405"/>
      <c r="F51" s="405"/>
    </row>
    <row r="52" spans="1:6">
      <c r="A52" s="405" t="s">
        <v>635</v>
      </c>
      <c r="B52" s="405" t="s">
        <v>535</v>
      </c>
      <c r="C52" s="492"/>
      <c r="D52" s="405"/>
      <c r="E52" s="405"/>
      <c r="F52" s="405"/>
    </row>
    <row r="53" spans="1:6">
      <c r="A53" s="405" t="s">
        <v>636</v>
      </c>
      <c r="B53" s="405" t="s">
        <v>536</v>
      </c>
      <c r="C53" s="492"/>
      <c r="D53" s="405"/>
      <c r="F53" s="405"/>
    </row>
    <row r="54" spans="1:6">
      <c r="A54" s="405" t="s">
        <v>637</v>
      </c>
      <c r="B54" s="405" t="s">
        <v>537</v>
      </c>
      <c r="C54" s="492"/>
      <c r="D54" s="405"/>
      <c r="E54" s="405"/>
      <c r="F54" s="405"/>
    </row>
    <row r="55" spans="1:6">
      <c r="A55" s="405" t="s">
        <v>638</v>
      </c>
      <c r="B55" s="405" t="s">
        <v>538</v>
      </c>
      <c r="C55" s="492"/>
      <c r="D55" s="405"/>
      <c r="E55" s="405"/>
      <c r="F55" s="405"/>
    </row>
    <row r="56" spans="1:6">
      <c r="A56" s="405" t="s">
        <v>639</v>
      </c>
      <c r="B56" s="405" t="s">
        <v>539</v>
      </c>
      <c r="C56" s="492"/>
      <c r="D56" s="405"/>
      <c r="E56" s="405"/>
      <c r="F56" s="405"/>
    </row>
    <row r="57" spans="1:6">
      <c r="A57" s="405" t="s">
        <v>640</v>
      </c>
      <c r="B57" s="405" t="s">
        <v>540</v>
      </c>
      <c r="C57" s="492"/>
      <c r="D57" s="405"/>
      <c r="E57" s="405"/>
      <c r="F57" s="405"/>
    </row>
    <row r="58" spans="1:6">
      <c r="A58" s="405" t="s">
        <v>641</v>
      </c>
      <c r="B58" s="405" t="s">
        <v>541</v>
      </c>
      <c r="C58" s="492"/>
      <c r="D58" s="405"/>
      <c r="E58" s="405"/>
      <c r="F58" s="405"/>
    </row>
    <row r="59" spans="1:6">
      <c r="A59" s="405" t="s">
        <v>642</v>
      </c>
      <c r="B59" s="405" t="s">
        <v>542</v>
      </c>
      <c r="C59" s="493"/>
      <c r="D59" s="405"/>
      <c r="E59" s="405"/>
      <c r="F59" s="405"/>
    </row>
    <row r="60" spans="1:6">
      <c r="A60" s="405" t="s">
        <v>643</v>
      </c>
      <c r="B60" s="405" t="s">
        <v>543</v>
      </c>
      <c r="C60" s="442"/>
      <c r="D60" s="405"/>
      <c r="E60" s="405"/>
      <c r="F60" s="405"/>
    </row>
    <row r="61" spans="1:6">
      <c r="A61" s="405" t="s">
        <v>644</v>
      </c>
      <c r="B61" s="405" t="s">
        <v>544</v>
      </c>
      <c r="C61" s="492"/>
      <c r="D61" s="405"/>
      <c r="E61" s="405"/>
      <c r="F61" s="405"/>
    </row>
    <row r="62" spans="1:6">
      <c r="A62" s="405" t="s">
        <v>645</v>
      </c>
      <c r="B62" s="405" t="s">
        <v>545</v>
      </c>
      <c r="C62" s="493"/>
      <c r="D62" s="405"/>
      <c r="E62" s="405"/>
      <c r="F62" s="405"/>
    </row>
    <row r="63" spans="1:6">
      <c r="A63" s="405" t="s">
        <v>646</v>
      </c>
      <c r="B63" s="405" t="s">
        <v>546</v>
      </c>
      <c r="C63" s="492"/>
      <c r="D63" s="405"/>
      <c r="E63" s="405"/>
      <c r="F63" s="405"/>
    </row>
    <row r="64" spans="1:6">
      <c r="A64" s="405" t="s">
        <v>647</v>
      </c>
      <c r="B64" s="405" t="s">
        <v>547</v>
      </c>
      <c r="C64" s="492"/>
      <c r="D64" s="405"/>
      <c r="E64" s="405"/>
      <c r="F64" s="405"/>
    </row>
    <row r="65" spans="1:6">
      <c r="A65" s="405" t="s">
        <v>648</v>
      </c>
      <c r="B65" s="405" t="s">
        <v>548</v>
      </c>
      <c r="C65" s="492"/>
      <c r="D65" s="405"/>
      <c r="E65" s="405"/>
      <c r="F65" s="405"/>
    </row>
    <row r="66" spans="1:6">
      <c r="A66" s="405" t="s">
        <v>649</v>
      </c>
      <c r="B66" s="405" t="s">
        <v>549</v>
      </c>
      <c r="C66" s="492"/>
      <c r="D66" s="405"/>
      <c r="E66" s="405"/>
      <c r="F66" s="405"/>
    </row>
    <row r="67" spans="1:6">
      <c r="A67" s="405" t="s">
        <v>650</v>
      </c>
      <c r="B67" s="405" t="s">
        <v>550</v>
      </c>
      <c r="C67" s="492"/>
      <c r="D67" s="405"/>
      <c r="E67" s="405"/>
      <c r="F67" s="405"/>
    </row>
    <row r="68" spans="1:6">
      <c r="A68" s="405" t="s">
        <v>651</v>
      </c>
      <c r="B68" s="405" t="s">
        <v>551</v>
      </c>
      <c r="C68" s="492"/>
      <c r="D68" s="405"/>
      <c r="E68" s="405"/>
      <c r="F68" s="405"/>
    </row>
    <row r="69" spans="1:6">
      <c r="A69" s="405" t="s">
        <v>652</v>
      </c>
      <c r="B69" s="405" t="s">
        <v>552</v>
      </c>
      <c r="C69" s="492"/>
      <c r="D69" s="405"/>
      <c r="E69" s="405"/>
      <c r="F69" s="405"/>
    </row>
    <row r="70" spans="1:6">
      <c r="A70" s="405" t="s">
        <v>653</v>
      </c>
      <c r="B70" s="405" t="s">
        <v>553</v>
      </c>
      <c r="C70" s="492"/>
      <c r="D70" s="405"/>
      <c r="E70" s="405"/>
      <c r="F70" s="405"/>
    </row>
    <row r="71" spans="1:6">
      <c r="A71" s="405" t="s">
        <v>654</v>
      </c>
      <c r="B71" s="405" t="s">
        <v>554</v>
      </c>
      <c r="C71" s="492"/>
      <c r="D71" s="405"/>
      <c r="E71" s="405"/>
      <c r="F71" s="405"/>
    </row>
    <row r="72" spans="1:6">
      <c r="A72" s="405" t="s">
        <v>655</v>
      </c>
      <c r="B72" s="405" t="s">
        <v>555</v>
      </c>
      <c r="C72" s="492"/>
      <c r="D72" s="405"/>
      <c r="E72" s="405"/>
      <c r="F72" s="405"/>
    </row>
    <row r="73" spans="1:6">
      <c r="A73" s="405" t="s">
        <v>656</v>
      </c>
      <c r="B73" s="405" t="s">
        <v>556</v>
      </c>
      <c r="C73" s="492"/>
      <c r="D73" s="405"/>
      <c r="E73" s="405"/>
      <c r="F73" s="405"/>
    </row>
    <row r="74" spans="1:6">
      <c r="A74" s="405" t="s">
        <v>657</v>
      </c>
      <c r="B74" s="405" t="s">
        <v>557</v>
      </c>
      <c r="C74" s="492"/>
      <c r="D74" s="405"/>
      <c r="E74" s="405"/>
      <c r="F74" s="405"/>
    </row>
    <row r="75" spans="1:6">
      <c r="A75" s="405" t="s">
        <v>658</v>
      </c>
      <c r="B75" s="405" t="s">
        <v>558</v>
      </c>
      <c r="C75" s="492"/>
      <c r="D75" s="405"/>
      <c r="E75" s="405"/>
      <c r="F75" s="405"/>
    </row>
    <row r="76" spans="1:6">
      <c r="A76" s="405" t="s">
        <v>659</v>
      </c>
      <c r="B76" s="405" t="s">
        <v>559</v>
      </c>
      <c r="C76" s="492"/>
      <c r="D76" s="405"/>
      <c r="E76" s="405"/>
      <c r="F76" s="405"/>
    </row>
    <row r="77" spans="1:6">
      <c r="A77" s="405" t="s">
        <v>660</v>
      </c>
      <c r="B77" s="478" t="s">
        <v>314</v>
      </c>
      <c r="C77" s="405"/>
      <c r="D77" s="405"/>
      <c r="E77" s="405"/>
      <c r="F77" s="405"/>
    </row>
    <row r="78" spans="1:6">
      <c r="A78" s="405" t="s">
        <v>661</v>
      </c>
      <c r="B78" s="405" t="s">
        <v>560</v>
      </c>
      <c r="C78" s="405"/>
      <c r="D78" s="405"/>
      <c r="E78" s="405"/>
      <c r="F78" s="405"/>
    </row>
    <row r="79" spans="1:6">
      <c r="A79" s="405" t="s">
        <v>662</v>
      </c>
      <c r="B79" s="405" t="s">
        <v>561</v>
      </c>
      <c r="C79" s="405"/>
      <c r="D79" s="405"/>
      <c r="E79" s="405"/>
      <c r="F79" s="405"/>
    </row>
    <row r="80" spans="1:6">
      <c r="A80" s="405" t="s">
        <v>663</v>
      </c>
      <c r="B80" s="512" t="s">
        <v>562</v>
      </c>
      <c r="C80" s="405"/>
      <c r="D80" s="405"/>
      <c r="E80" s="405"/>
      <c r="F80" s="405"/>
    </row>
    <row r="81" spans="1:6">
      <c r="A81" s="405" t="s">
        <v>664</v>
      </c>
      <c r="B81" s="478" t="s">
        <v>121</v>
      </c>
      <c r="C81" s="405"/>
      <c r="D81" s="405"/>
      <c r="E81" s="405"/>
      <c r="F81" s="405"/>
    </row>
    <row r="82" spans="1:6">
      <c r="A82" s="405" t="s">
        <v>665</v>
      </c>
      <c r="B82" s="428" t="s">
        <v>316</v>
      </c>
      <c r="C82" s="405"/>
      <c r="D82" s="405"/>
      <c r="E82" s="405"/>
      <c r="F82" s="405"/>
    </row>
    <row r="83" spans="1:6">
      <c r="A83" s="405" t="s">
        <v>666</v>
      </c>
      <c r="B83" s="405" t="s">
        <v>563</v>
      </c>
      <c r="C83" s="405"/>
      <c r="D83" s="405"/>
      <c r="E83" s="405"/>
      <c r="F83" s="405"/>
    </row>
    <row r="84" spans="1:6">
      <c r="A84" s="405" t="s">
        <v>667</v>
      </c>
      <c r="B84" s="428" t="s">
        <v>318</v>
      </c>
      <c r="C84" s="405"/>
      <c r="D84" s="405"/>
      <c r="E84" s="405"/>
      <c r="F84" s="405"/>
    </row>
    <row r="85" spans="1:6">
      <c r="A85" s="405" t="s">
        <v>668</v>
      </c>
      <c r="B85" s="428" t="s">
        <v>320</v>
      </c>
      <c r="C85" s="405"/>
      <c r="D85" s="405"/>
      <c r="E85" s="405"/>
      <c r="F85" s="405"/>
    </row>
    <row r="86" spans="1:6">
      <c r="A86" s="405" t="s">
        <v>669</v>
      </c>
      <c r="B86" s="428" t="s">
        <v>322</v>
      </c>
      <c r="C86" s="405"/>
      <c r="D86" s="405"/>
      <c r="E86" s="405"/>
      <c r="F86" s="405"/>
    </row>
    <row r="87" spans="1:6">
      <c r="A87" s="405" t="s">
        <v>670</v>
      </c>
      <c r="B87" s="428" t="s">
        <v>324</v>
      </c>
      <c r="C87" s="405"/>
      <c r="D87" s="405"/>
      <c r="E87" s="405"/>
      <c r="F87" s="405"/>
    </row>
    <row r="88" spans="1:6">
      <c r="A88" s="405" t="s">
        <v>671</v>
      </c>
      <c r="B88" s="428" t="s">
        <v>326</v>
      </c>
      <c r="C88" s="405"/>
      <c r="D88" s="405"/>
      <c r="E88" s="405"/>
      <c r="F88" s="405"/>
    </row>
    <row r="89" spans="1:6">
      <c r="A89" s="405" t="s">
        <v>672</v>
      </c>
      <c r="B89" s="428" t="s">
        <v>328</v>
      </c>
      <c r="C89" s="405"/>
      <c r="D89" s="405"/>
      <c r="E89" s="405"/>
      <c r="F89" s="405"/>
    </row>
    <row r="90" spans="1:6">
      <c r="A90" s="405" t="s">
        <v>673</v>
      </c>
      <c r="B90" s="428" t="s">
        <v>330</v>
      </c>
      <c r="C90" s="405"/>
      <c r="D90" s="405"/>
      <c r="E90" s="405"/>
      <c r="F90" s="405"/>
    </row>
    <row r="91" spans="1:6">
      <c r="A91" s="405" t="s">
        <v>674</v>
      </c>
      <c r="B91" s="428" t="s">
        <v>332</v>
      </c>
      <c r="C91" s="405"/>
      <c r="D91" s="405"/>
      <c r="E91" s="405"/>
      <c r="F91" s="405"/>
    </row>
    <row r="92" spans="1:6">
      <c r="A92" s="405" t="s">
        <v>675</v>
      </c>
      <c r="B92" s="428" t="s">
        <v>121</v>
      </c>
      <c r="C92" s="405"/>
      <c r="D92" s="405"/>
      <c r="E92" s="405"/>
      <c r="F92" s="405"/>
    </row>
    <row r="93" spans="1:6">
      <c r="A93" s="405" t="s">
        <v>676</v>
      </c>
      <c r="B93" s="451" t="s">
        <v>125</v>
      </c>
      <c r="C93" s="442"/>
      <c r="D93" s="405"/>
      <c r="E93" s="405"/>
      <c r="F93" s="405"/>
    </row>
    <row r="94" spans="1:6">
      <c r="A94" s="405" t="s">
        <v>677</v>
      </c>
      <c r="B94" s="451" t="s">
        <v>125</v>
      </c>
      <c r="C94" s="442"/>
      <c r="D94" s="405"/>
      <c r="E94" s="405"/>
      <c r="F94" s="405"/>
    </row>
    <row r="95" spans="1:6">
      <c r="A95" s="405" t="s">
        <v>678</v>
      </c>
      <c r="B95" s="451" t="s">
        <v>125</v>
      </c>
      <c r="C95" s="442"/>
      <c r="D95" s="405"/>
      <c r="E95" s="405"/>
      <c r="F95" s="405"/>
    </row>
    <row r="96" spans="1:6">
      <c r="A96" s="405" t="s">
        <v>679</v>
      </c>
      <c r="B96" s="451" t="s">
        <v>125</v>
      </c>
      <c r="C96" s="442"/>
      <c r="D96" s="405"/>
      <c r="E96" s="405"/>
      <c r="F96" s="405"/>
    </row>
    <row r="97" spans="1:7">
      <c r="A97" s="405" t="s">
        <v>680</v>
      </c>
      <c r="B97" s="451" t="s">
        <v>125</v>
      </c>
      <c r="C97" s="442"/>
      <c r="D97" s="405"/>
      <c r="E97" s="405"/>
      <c r="F97" s="405"/>
    </row>
    <row r="98" spans="1:7">
      <c r="A98" s="405" t="s">
        <v>681</v>
      </c>
      <c r="B98" s="451" t="s">
        <v>125</v>
      </c>
      <c r="C98" s="442"/>
      <c r="D98" s="405"/>
      <c r="E98" s="405"/>
      <c r="F98" s="405"/>
    </row>
    <row r="99" spans="1:7">
      <c r="A99" s="405" t="s">
        <v>682</v>
      </c>
      <c r="B99" s="451" t="s">
        <v>125</v>
      </c>
      <c r="C99" s="442"/>
      <c r="D99" s="405"/>
      <c r="E99" s="405"/>
      <c r="F99" s="405"/>
    </row>
    <row r="100" spans="1:7">
      <c r="A100" s="405" t="s">
        <v>683</v>
      </c>
      <c r="B100" s="451" t="s">
        <v>125</v>
      </c>
      <c r="C100" s="442"/>
      <c r="D100" s="405"/>
      <c r="E100" s="405"/>
      <c r="F100" s="405"/>
    </row>
    <row r="101" spans="1:7">
      <c r="A101" s="405" t="s">
        <v>684</v>
      </c>
      <c r="B101" s="451" t="s">
        <v>125</v>
      </c>
      <c r="C101" s="442"/>
      <c r="D101" s="405"/>
      <c r="E101" s="405"/>
      <c r="F101" s="405"/>
    </row>
    <row r="102" spans="1:7">
      <c r="A102" s="405" t="s">
        <v>685</v>
      </c>
      <c r="B102" s="451" t="s">
        <v>125</v>
      </c>
      <c r="C102" s="442"/>
      <c r="D102" s="405"/>
      <c r="E102" s="405"/>
      <c r="F102" s="405"/>
    </row>
    <row r="103" spans="1:7">
      <c r="A103" s="436"/>
      <c r="B103" s="480" t="s">
        <v>26</v>
      </c>
      <c r="C103" s="481" t="s">
        <v>602</v>
      </c>
      <c r="D103" s="436"/>
      <c r="E103" s="457"/>
      <c r="F103" s="436"/>
      <c r="G103" s="436"/>
    </row>
    <row r="104" spans="1:7">
      <c r="A104" s="405" t="s">
        <v>686</v>
      </c>
      <c r="B104" s="428" t="s" vm="1">
        <v>564</v>
      </c>
      <c r="C104" s="442">
        <v>3.335596677196493E-2</v>
      </c>
      <c r="D104" s="485"/>
      <c r="E104" s="491"/>
      <c r="F104" s="405"/>
    </row>
    <row r="105" spans="1:7">
      <c r="A105" s="405" t="s">
        <v>687</v>
      </c>
      <c r="B105" s="428" t="s">
        <v>565</v>
      </c>
      <c r="C105" s="442">
        <v>9.5734785166930306E-2</v>
      </c>
      <c r="D105" s="485"/>
      <c r="E105" s="491"/>
      <c r="F105" s="405"/>
    </row>
    <row r="106" spans="1:7">
      <c r="A106" s="405" t="s">
        <v>688</v>
      </c>
      <c r="B106" s="428" t="s">
        <v>566</v>
      </c>
      <c r="C106" s="442">
        <v>0.20969372737234454</v>
      </c>
      <c r="D106" s="485"/>
      <c r="E106" s="491"/>
      <c r="F106" s="405"/>
    </row>
    <row r="107" spans="1:7">
      <c r="A107" s="405" t="s">
        <v>689</v>
      </c>
      <c r="B107" s="428" t="s">
        <v>567</v>
      </c>
      <c r="C107" s="442">
        <v>0.19685631398556236</v>
      </c>
      <c r="D107" s="485"/>
      <c r="E107" s="491"/>
      <c r="F107" s="405"/>
    </row>
    <row r="108" spans="1:7">
      <c r="A108" s="405" t="s">
        <v>690</v>
      </c>
      <c r="B108" s="428" t="s" vm="2">
        <v>568</v>
      </c>
      <c r="C108" s="442">
        <v>2.3368206331003574E-2</v>
      </c>
      <c r="D108" s="485"/>
      <c r="E108" s="491"/>
      <c r="F108" s="405"/>
    </row>
    <row r="109" spans="1:7">
      <c r="A109" s="405" t="s">
        <v>691</v>
      </c>
      <c r="B109" s="428" t="s" vm="3">
        <v>569</v>
      </c>
      <c r="C109" s="442">
        <v>0.32535602572215305</v>
      </c>
      <c r="D109" s="485"/>
      <c r="E109" s="491"/>
      <c r="F109" s="405"/>
    </row>
    <row r="110" spans="1:7">
      <c r="A110" s="405" t="s">
        <v>692</v>
      </c>
      <c r="B110" s="428" t="s" vm="4">
        <v>570</v>
      </c>
      <c r="C110" s="442">
        <v>8.7465640055194808E-3</v>
      </c>
      <c r="D110" s="485"/>
      <c r="E110" s="491"/>
      <c r="F110" s="405"/>
    </row>
    <row r="111" spans="1:7">
      <c r="A111" s="405" t="s">
        <v>693</v>
      </c>
      <c r="B111" s="428" t="s" vm="5">
        <v>571</v>
      </c>
      <c r="C111" s="442">
        <v>7.1186965391484822E-2</v>
      </c>
      <c r="D111" s="485"/>
      <c r="E111" s="491"/>
      <c r="F111" s="405"/>
    </row>
    <row r="112" spans="1:7">
      <c r="A112" s="405" t="s">
        <v>694</v>
      </c>
      <c r="B112" s="428" t="s" vm="6">
        <v>572</v>
      </c>
      <c r="C112" s="442">
        <v>3.570144525303616E-2</v>
      </c>
      <c r="D112" s="485"/>
      <c r="E112" s="491"/>
      <c r="F112" s="405"/>
    </row>
    <row r="113" spans="1:6">
      <c r="A113" s="405" t="s">
        <v>695</v>
      </c>
      <c r="B113" s="428" t="s">
        <v>586</v>
      </c>
      <c r="C113" s="405"/>
      <c r="D113" s="405"/>
      <c r="E113" s="405"/>
      <c r="F113" s="405"/>
    </row>
    <row r="114" spans="1:6">
      <c r="A114" s="405" t="s">
        <v>696</v>
      </c>
      <c r="B114" s="428" t="s">
        <v>586</v>
      </c>
      <c r="C114" s="405"/>
      <c r="D114" s="405"/>
      <c r="E114" s="405"/>
      <c r="F114" s="405"/>
    </row>
    <row r="115" spans="1:6">
      <c r="A115" s="405" t="s">
        <v>697</v>
      </c>
      <c r="B115" s="428" t="s">
        <v>586</v>
      </c>
      <c r="C115" s="405"/>
      <c r="D115" s="405"/>
      <c r="E115" s="405"/>
      <c r="F115" s="405"/>
    </row>
    <row r="116" spans="1:6">
      <c r="A116" s="405" t="s">
        <v>698</v>
      </c>
      <c r="B116" s="428" t="s">
        <v>586</v>
      </c>
      <c r="C116" s="405"/>
      <c r="D116" s="405"/>
      <c r="E116" s="405"/>
      <c r="F116" s="405"/>
    </row>
    <row r="117" spans="1:6">
      <c r="A117" s="405" t="s">
        <v>699</v>
      </c>
      <c r="B117" s="428" t="s">
        <v>586</v>
      </c>
      <c r="C117" s="405"/>
      <c r="D117" s="405"/>
      <c r="E117" s="405"/>
      <c r="F117" s="405"/>
    </row>
    <row r="118" spans="1:6">
      <c r="A118" s="405" t="s">
        <v>700</v>
      </c>
      <c r="B118" s="428" t="s">
        <v>586</v>
      </c>
      <c r="C118" s="405"/>
      <c r="D118" s="405"/>
      <c r="E118" s="405"/>
      <c r="F118" s="405"/>
    </row>
    <row r="119" spans="1:6">
      <c r="A119" s="405" t="s">
        <v>701</v>
      </c>
      <c r="B119" s="428" t="s">
        <v>586</v>
      </c>
      <c r="C119" s="405"/>
      <c r="D119" s="405"/>
      <c r="E119" s="405"/>
      <c r="F119" s="405"/>
    </row>
    <row r="120" spans="1:6">
      <c r="A120" s="405" t="s">
        <v>702</v>
      </c>
      <c r="B120" s="428" t="s">
        <v>586</v>
      </c>
      <c r="C120" s="405"/>
      <c r="D120" s="405"/>
      <c r="E120" s="405"/>
      <c r="F120" s="405"/>
    </row>
    <row r="121" spans="1:6">
      <c r="A121" s="405" t="s">
        <v>703</v>
      </c>
      <c r="B121" s="428" t="s">
        <v>586</v>
      </c>
      <c r="C121" s="405"/>
      <c r="D121" s="405"/>
      <c r="E121" s="405"/>
      <c r="F121" s="405"/>
    </row>
    <row r="122" spans="1:6">
      <c r="A122" s="405" t="s">
        <v>704</v>
      </c>
      <c r="B122" s="428" t="s">
        <v>586</v>
      </c>
      <c r="C122" s="405"/>
      <c r="D122" s="405"/>
      <c r="E122" s="405"/>
      <c r="F122" s="405"/>
    </row>
    <row r="123" spans="1:6">
      <c r="A123" s="405" t="s">
        <v>705</v>
      </c>
      <c r="B123" s="428" t="s">
        <v>586</v>
      </c>
      <c r="C123" s="405"/>
      <c r="D123" s="405"/>
      <c r="E123" s="405"/>
      <c r="F123" s="405"/>
    </row>
    <row r="124" spans="1:6">
      <c r="A124" s="405" t="s">
        <v>706</v>
      </c>
      <c r="B124" s="428" t="s">
        <v>586</v>
      </c>
      <c r="C124" s="405"/>
      <c r="D124" s="405"/>
      <c r="E124" s="405"/>
      <c r="F124" s="405"/>
    </row>
    <row r="125" spans="1:6">
      <c r="A125" s="405" t="s">
        <v>707</v>
      </c>
      <c r="B125" s="428" t="s">
        <v>586</v>
      </c>
      <c r="C125" s="405"/>
      <c r="D125" s="405"/>
      <c r="E125" s="405"/>
      <c r="F125" s="405"/>
    </row>
    <row r="126" spans="1:6">
      <c r="A126" s="405" t="s">
        <v>708</v>
      </c>
      <c r="B126" s="428" t="s">
        <v>586</v>
      </c>
      <c r="C126" s="405"/>
      <c r="D126" s="405"/>
      <c r="E126" s="405"/>
      <c r="F126" s="405"/>
    </row>
    <row r="127" spans="1:6">
      <c r="A127" s="405" t="s">
        <v>709</v>
      </c>
      <c r="B127" s="428" t="s">
        <v>586</v>
      </c>
      <c r="C127" s="405"/>
      <c r="D127" s="405"/>
      <c r="E127" s="405"/>
      <c r="F127" s="405"/>
    </row>
    <row r="128" spans="1:6">
      <c r="A128" s="405" t="s">
        <v>710</v>
      </c>
      <c r="B128" s="428" t="s">
        <v>586</v>
      </c>
      <c r="C128" s="405"/>
      <c r="D128" s="405"/>
      <c r="E128" s="405"/>
      <c r="F128" s="405"/>
    </row>
    <row r="129" spans="1:7">
      <c r="A129" s="436"/>
      <c r="B129" s="455" t="s">
        <v>573</v>
      </c>
      <c r="C129" s="436" t="s">
        <v>602</v>
      </c>
      <c r="D129" s="436"/>
      <c r="E129" s="436"/>
      <c r="F129" s="436"/>
      <c r="G129" s="436"/>
    </row>
    <row r="130" spans="1:7">
      <c r="A130" s="405" t="s">
        <v>711</v>
      </c>
      <c r="B130" s="405" t="s">
        <v>574</v>
      </c>
      <c r="C130" s="442">
        <v>0.50132341642388756</v>
      </c>
      <c r="D130" s="407"/>
      <c r="E130" s="407"/>
      <c r="F130" s="407"/>
      <c r="G130" s="407"/>
    </row>
    <row r="131" spans="1:7">
      <c r="A131" s="405" t="s">
        <v>712</v>
      </c>
      <c r="B131" s="405" t="s">
        <v>575</v>
      </c>
      <c r="C131" s="442">
        <v>0.49867658357611272</v>
      </c>
      <c r="D131" s="407"/>
      <c r="E131" s="407"/>
      <c r="F131" s="407"/>
      <c r="G131" s="407"/>
    </row>
    <row r="132" spans="1:7">
      <c r="A132" s="405" t="s">
        <v>713</v>
      </c>
      <c r="B132" s="405" t="s">
        <v>121</v>
      </c>
      <c r="C132" s="442">
        <v>0</v>
      </c>
      <c r="D132" s="407"/>
      <c r="E132" s="407"/>
      <c r="F132" s="407"/>
      <c r="G132" s="407"/>
    </row>
    <row r="133" spans="1:7">
      <c r="A133" s="405" t="s">
        <v>714</v>
      </c>
      <c r="B133" s="405"/>
      <c r="C133" s="442"/>
      <c r="D133" s="407"/>
      <c r="E133" s="407"/>
      <c r="F133" s="407"/>
      <c r="G133" s="407"/>
    </row>
    <row r="134" spans="1:7">
      <c r="A134" s="405" t="s">
        <v>715</v>
      </c>
      <c r="B134" s="405"/>
      <c r="C134" s="442"/>
      <c r="D134" s="407"/>
      <c r="E134" s="407"/>
      <c r="F134" s="407"/>
      <c r="G134" s="407"/>
    </row>
    <row r="135" spans="1:7">
      <c r="A135" s="405" t="s">
        <v>716</v>
      </c>
      <c r="B135" s="405"/>
      <c r="C135" s="442"/>
      <c r="D135" s="407"/>
      <c r="E135" s="407"/>
      <c r="F135" s="407"/>
      <c r="G135" s="407"/>
    </row>
    <row r="136" spans="1:7">
      <c r="A136" s="405" t="s">
        <v>717</v>
      </c>
      <c r="B136" s="405"/>
      <c r="C136" s="442"/>
      <c r="D136" s="407"/>
      <c r="E136" s="407"/>
      <c r="F136" s="407"/>
      <c r="G136" s="407"/>
    </row>
    <row r="137" spans="1:7">
      <c r="A137" s="436"/>
      <c r="B137" s="455" t="s">
        <v>27</v>
      </c>
      <c r="C137" s="436" t="s">
        <v>602</v>
      </c>
      <c r="D137" s="436"/>
      <c r="E137" s="436"/>
      <c r="F137" s="436"/>
      <c r="G137" s="436"/>
    </row>
    <row r="138" spans="1:7">
      <c r="A138" s="405" t="s">
        <v>718</v>
      </c>
      <c r="B138" s="405" t="s">
        <v>576</v>
      </c>
      <c r="C138" s="442">
        <v>0.30295500929993663</v>
      </c>
      <c r="D138" s="446"/>
      <c r="E138" s="446"/>
      <c r="F138" s="443"/>
      <c r="G138" s="446"/>
    </row>
    <row r="139" spans="1:7">
      <c r="A139" s="405" t="s">
        <v>719</v>
      </c>
      <c r="B139" s="405" t="s">
        <v>577</v>
      </c>
      <c r="C139" s="442">
        <v>0.69704499070006332</v>
      </c>
      <c r="D139" s="446"/>
      <c r="E139" s="446"/>
      <c r="F139" s="443"/>
      <c r="G139" s="446"/>
    </row>
    <row r="140" spans="1:7">
      <c r="A140" s="405" t="s">
        <v>720</v>
      </c>
      <c r="B140" s="405" t="s">
        <v>121</v>
      </c>
      <c r="C140" s="442">
        <v>0</v>
      </c>
      <c r="D140" s="446"/>
      <c r="E140" s="446"/>
      <c r="F140" s="443"/>
      <c r="G140" s="446"/>
    </row>
    <row r="141" spans="1:7">
      <c r="A141" s="405" t="s">
        <v>721</v>
      </c>
      <c r="B141" s="405"/>
      <c r="C141" s="442"/>
      <c r="D141" s="446"/>
      <c r="E141" s="446"/>
      <c r="F141" s="443"/>
      <c r="G141" s="446"/>
    </row>
    <row r="142" spans="1:7">
      <c r="A142" s="405" t="s">
        <v>722</v>
      </c>
      <c r="B142" s="405"/>
      <c r="C142" s="442"/>
      <c r="D142" s="446"/>
      <c r="E142" s="446"/>
      <c r="F142" s="443"/>
      <c r="G142" s="446"/>
    </row>
    <row r="143" spans="1:7">
      <c r="A143" s="405" t="s">
        <v>723</v>
      </c>
      <c r="B143" s="405"/>
      <c r="C143" s="442"/>
      <c r="D143" s="446"/>
      <c r="E143" s="446"/>
      <c r="F143" s="443"/>
      <c r="G143" s="446"/>
    </row>
    <row r="144" spans="1:7">
      <c r="A144" s="405" t="s">
        <v>724</v>
      </c>
      <c r="B144" s="405"/>
      <c r="C144" s="442"/>
      <c r="D144" s="446"/>
      <c r="E144" s="446"/>
      <c r="F144" s="443"/>
      <c r="G144" s="446"/>
    </row>
    <row r="145" spans="1:7">
      <c r="A145" s="405" t="s">
        <v>725</v>
      </c>
      <c r="B145" s="405"/>
      <c r="C145" s="442"/>
      <c r="D145" s="446"/>
      <c r="E145" s="446"/>
      <c r="F145" s="443"/>
      <c r="G145" s="446"/>
    </row>
    <row r="146" spans="1:7">
      <c r="A146" s="405" t="s">
        <v>726</v>
      </c>
      <c r="B146" s="405"/>
      <c r="C146" s="442"/>
      <c r="D146" s="446"/>
      <c r="E146" s="446"/>
      <c r="F146" s="443"/>
      <c r="G146" s="446"/>
    </row>
    <row r="147" spans="1:7">
      <c r="A147" s="436"/>
      <c r="B147" s="455" t="s">
        <v>34</v>
      </c>
      <c r="C147" s="436" t="s">
        <v>83</v>
      </c>
      <c r="D147" s="436"/>
      <c r="E147" s="436"/>
      <c r="F147" s="436" t="s">
        <v>602</v>
      </c>
      <c r="G147" s="436"/>
    </row>
    <row r="148" spans="1:7" s="499" customFormat="1">
      <c r="A148" s="492" t="s">
        <v>727</v>
      </c>
      <c r="B148" s="498" t="s">
        <v>728</v>
      </c>
      <c r="C148" s="486">
        <v>0</v>
      </c>
      <c r="D148" s="497"/>
      <c r="E148" s="497"/>
      <c r="F148" s="487">
        <v>0</v>
      </c>
      <c r="G148" s="497"/>
    </row>
    <row r="149" spans="1:7" s="499" customFormat="1">
      <c r="A149" s="492" t="s">
        <v>729</v>
      </c>
      <c r="B149" s="498" t="s">
        <v>730</v>
      </c>
      <c r="C149" s="486">
        <v>425360243.89000022</v>
      </c>
      <c r="D149" s="497"/>
      <c r="E149" s="497"/>
      <c r="F149" s="487">
        <v>0.14389456227730402</v>
      </c>
      <c r="G149" s="497"/>
    </row>
    <row r="150" spans="1:7" s="499" customFormat="1">
      <c r="A150" s="492" t="s">
        <v>731</v>
      </c>
      <c r="B150" s="498" t="s">
        <v>732</v>
      </c>
      <c r="C150" s="486">
        <v>2326957756.2500024</v>
      </c>
      <c r="D150" s="497"/>
      <c r="E150" s="497"/>
      <c r="F150" s="487">
        <v>0.78718350523600311</v>
      </c>
      <c r="G150" s="497"/>
    </row>
    <row r="151" spans="1:7" s="499" customFormat="1">
      <c r="A151" s="492" t="s">
        <v>733</v>
      </c>
      <c r="B151" s="498" t="s">
        <v>734</v>
      </c>
      <c r="C151" s="486">
        <v>203737024.86000004</v>
      </c>
      <c r="D151" s="497"/>
      <c r="E151" s="497"/>
      <c r="F151" s="487">
        <v>6.8921932486693108E-2</v>
      </c>
      <c r="G151" s="497"/>
    </row>
    <row r="152" spans="1:7" s="499" customFormat="1">
      <c r="A152" s="492" t="s">
        <v>735</v>
      </c>
      <c r="B152" s="505" t="s">
        <v>123</v>
      </c>
      <c r="C152" s="486">
        <v>2956055025.0000024</v>
      </c>
      <c r="D152" s="497"/>
      <c r="E152" s="497"/>
      <c r="F152" s="487">
        <v>1.0000000000000002</v>
      </c>
      <c r="G152" s="497"/>
    </row>
    <row r="153" spans="1:7" s="499" customFormat="1">
      <c r="A153" s="492" t="s">
        <v>736</v>
      </c>
      <c r="B153" s="500" t="s">
        <v>737</v>
      </c>
      <c r="C153" s="486"/>
      <c r="D153" s="497"/>
      <c r="E153" s="497"/>
      <c r="F153" s="487"/>
      <c r="G153" s="497"/>
    </row>
    <row r="154" spans="1:7" s="499" customFormat="1">
      <c r="A154" s="492" t="s">
        <v>738</v>
      </c>
      <c r="B154" s="500" t="s">
        <v>739</v>
      </c>
      <c r="C154" s="486"/>
      <c r="D154" s="497"/>
      <c r="E154" s="497"/>
      <c r="F154" s="487"/>
      <c r="G154" s="497"/>
    </row>
    <row r="155" spans="1:7" s="499" customFormat="1">
      <c r="A155" s="492" t="s">
        <v>740</v>
      </c>
      <c r="B155" s="500" t="s">
        <v>741</v>
      </c>
      <c r="C155" s="486"/>
      <c r="D155" s="497"/>
      <c r="E155" s="497"/>
      <c r="F155" s="487"/>
      <c r="G155" s="497"/>
    </row>
    <row r="156" spans="1:7" s="499" customFormat="1">
      <c r="A156" s="492" t="s">
        <v>742</v>
      </c>
      <c r="B156" s="500" t="s">
        <v>743</v>
      </c>
      <c r="C156" s="486">
        <v>270640320.04999995</v>
      </c>
      <c r="D156" s="497"/>
      <c r="E156" s="497"/>
      <c r="F156" s="487">
        <v>9.1554560981150807E-2</v>
      </c>
      <c r="G156" s="497"/>
    </row>
    <row r="157" spans="1:7" s="499" customFormat="1">
      <c r="A157" s="492" t="s">
        <v>744</v>
      </c>
      <c r="B157" s="500" t="s">
        <v>745</v>
      </c>
      <c r="C157" s="486">
        <v>154719923.84000003</v>
      </c>
      <c r="D157" s="497"/>
      <c r="E157" s="497"/>
      <c r="F157" s="487">
        <v>5.234000129615312E-2</v>
      </c>
      <c r="G157" s="497"/>
    </row>
    <row r="158" spans="1:7" s="499" customFormat="1">
      <c r="A158" s="492" t="s">
        <v>746</v>
      </c>
      <c r="B158" s="500" t="s">
        <v>747</v>
      </c>
      <c r="C158" s="486">
        <v>1928484423.0600016</v>
      </c>
      <c r="D158" s="497"/>
      <c r="E158" s="497"/>
      <c r="F158" s="487">
        <v>0.65238448092149448</v>
      </c>
      <c r="G158" s="497"/>
    </row>
    <row r="159" spans="1:7" s="499" customFormat="1">
      <c r="A159" s="492" t="s">
        <v>748</v>
      </c>
      <c r="B159" s="500" t="s">
        <v>4244</v>
      </c>
      <c r="C159" s="486">
        <v>398473333.18999994</v>
      </c>
      <c r="D159" s="497"/>
      <c r="E159" s="497"/>
      <c r="F159" s="487">
        <v>0.13479902431450838</v>
      </c>
      <c r="G159" s="497"/>
    </row>
    <row r="160" spans="1:7">
      <c r="A160" s="405" t="s">
        <v>749</v>
      </c>
      <c r="B160" s="451"/>
      <c r="C160" s="405"/>
      <c r="D160" s="446"/>
      <c r="E160" s="446"/>
      <c r="F160" s="448"/>
      <c r="G160" s="446"/>
    </row>
    <row r="161" spans="1:7">
      <c r="A161" s="405" t="s">
        <v>750</v>
      </c>
      <c r="B161" s="451"/>
      <c r="C161" s="405"/>
      <c r="D161" s="446"/>
      <c r="E161" s="446"/>
      <c r="F161" s="448"/>
      <c r="G161" s="446"/>
    </row>
    <row r="162" spans="1:7">
      <c r="A162" s="405" t="s">
        <v>751</v>
      </c>
      <c r="B162" s="451"/>
      <c r="C162" s="405"/>
      <c r="D162" s="446"/>
      <c r="E162" s="446"/>
      <c r="F162" s="448"/>
      <c r="G162" s="446"/>
    </row>
    <row r="163" spans="1:7">
      <c r="A163" s="405" t="s">
        <v>752</v>
      </c>
      <c r="B163" s="451"/>
      <c r="C163" s="405"/>
      <c r="D163" s="446"/>
      <c r="E163" s="446"/>
      <c r="F163" s="448"/>
      <c r="G163" s="446"/>
    </row>
    <row r="164" spans="1:7">
      <c r="A164" s="405" t="s">
        <v>753</v>
      </c>
      <c r="B164" s="428"/>
      <c r="C164" s="405"/>
      <c r="D164" s="446"/>
      <c r="E164" s="446"/>
      <c r="F164" s="448"/>
      <c r="G164" s="446"/>
    </row>
    <row r="165" spans="1:7">
      <c r="A165" s="405" t="s">
        <v>754</v>
      </c>
      <c r="B165" s="453"/>
      <c r="C165" s="453"/>
      <c r="D165" s="453"/>
      <c r="E165" s="453"/>
      <c r="F165" s="448"/>
      <c r="G165" s="446"/>
    </row>
    <row r="166" spans="1:7">
      <c r="A166" s="436"/>
      <c r="B166" s="455" t="s">
        <v>755</v>
      </c>
      <c r="C166" s="436"/>
      <c r="D166" s="436"/>
      <c r="E166" s="436"/>
      <c r="F166" s="436"/>
      <c r="G166" s="436"/>
    </row>
    <row r="167" spans="1:7">
      <c r="A167" s="405" t="s">
        <v>756</v>
      </c>
      <c r="B167" s="405" t="s">
        <v>578</v>
      </c>
      <c r="C167" s="442">
        <v>0</v>
      </c>
      <c r="D167" s="407"/>
      <c r="E167" s="405"/>
      <c r="F167" s="405"/>
      <c r="G167" s="407"/>
    </row>
    <row r="168" spans="1:7">
      <c r="A168" s="405" t="s">
        <v>757</v>
      </c>
      <c r="B168" s="405"/>
      <c r="C168" s="405"/>
      <c r="D168" s="407"/>
      <c r="E168" s="405"/>
      <c r="F168" s="405"/>
      <c r="G168" s="407"/>
    </row>
    <row r="169" spans="1:7">
      <c r="A169" s="405" t="s">
        <v>758</v>
      </c>
      <c r="B169" s="405"/>
      <c r="C169" s="405"/>
      <c r="D169" s="407"/>
      <c r="E169" s="405"/>
      <c r="F169" s="405"/>
      <c r="G169" s="407"/>
    </row>
    <row r="170" spans="1:7">
      <c r="A170" s="405" t="s">
        <v>759</v>
      </c>
      <c r="B170" s="405"/>
      <c r="C170" s="405"/>
      <c r="D170" s="407"/>
      <c r="E170" s="405"/>
      <c r="F170" s="405"/>
      <c r="G170" s="407"/>
    </row>
    <row r="171" spans="1:7">
      <c r="A171" s="405" t="s">
        <v>760</v>
      </c>
      <c r="B171" s="405"/>
      <c r="C171" s="405"/>
      <c r="D171" s="407"/>
      <c r="E171" s="405"/>
      <c r="F171" s="405"/>
      <c r="G171" s="407"/>
    </row>
    <row r="172" spans="1:7">
      <c r="A172" s="436"/>
      <c r="B172" s="455" t="s">
        <v>761</v>
      </c>
      <c r="C172" s="436" t="s">
        <v>602</v>
      </c>
      <c r="D172" s="436"/>
      <c r="E172" s="436"/>
      <c r="F172" s="436"/>
      <c r="G172" s="436"/>
    </row>
    <row r="173" spans="1:7" s="499" customFormat="1">
      <c r="A173" s="492" t="s">
        <v>762</v>
      </c>
      <c r="B173" s="492" t="s">
        <v>763</v>
      </c>
      <c r="C173" s="509">
        <v>0.18122340362727168</v>
      </c>
    </row>
    <row r="174" spans="1:7">
      <c r="A174" s="405" t="s">
        <v>764</v>
      </c>
      <c r="B174" s="405"/>
      <c r="C174" s="405"/>
      <c r="D174" s="407"/>
      <c r="E174" s="407"/>
      <c r="F174" s="407"/>
      <c r="G174" s="407"/>
    </row>
    <row r="175" spans="1:7">
      <c r="A175" s="405" t="s">
        <v>765</v>
      </c>
      <c r="B175" s="405"/>
      <c r="C175" s="405"/>
      <c r="D175" s="407"/>
      <c r="E175" s="407"/>
      <c r="F175" s="407"/>
      <c r="G175" s="407"/>
    </row>
    <row r="176" spans="1:7">
      <c r="A176" s="405" t="s">
        <v>766</v>
      </c>
      <c r="B176" s="405"/>
      <c r="C176" s="405"/>
      <c r="D176" s="407"/>
      <c r="E176" s="407"/>
      <c r="F176" s="407"/>
      <c r="G176" s="407"/>
    </row>
    <row r="177" spans="1:7">
      <c r="A177" s="405" t="s">
        <v>767</v>
      </c>
      <c r="B177" s="405"/>
      <c r="C177" s="405"/>
      <c r="D177" s="407"/>
      <c r="E177" s="407"/>
      <c r="F177" s="407"/>
      <c r="G177" s="407"/>
    </row>
    <row r="178" spans="1:7">
      <c r="A178" s="405" t="s">
        <v>768</v>
      </c>
      <c r="B178" s="405"/>
      <c r="C178" s="405"/>
      <c r="D178" s="405"/>
      <c r="E178" s="405"/>
      <c r="F178" s="405"/>
    </row>
    <row r="179" spans="1:7">
      <c r="A179" s="405" t="s">
        <v>769</v>
      </c>
      <c r="B179" s="405"/>
      <c r="C179" s="405"/>
      <c r="D179" s="405"/>
      <c r="E179" s="405"/>
      <c r="F179" s="405"/>
    </row>
    <row r="180" spans="1:7">
      <c r="A180" s="405"/>
      <c r="B180" s="405"/>
      <c r="C180" s="405"/>
      <c r="D180" s="405"/>
      <c r="E180" s="405"/>
      <c r="F180" s="405"/>
    </row>
    <row r="181" spans="1:7">
      <c r="A181" s="405"/>
      <c r="B181" s="405"/>
      <c r="C181" s="405"/>
      <c r="D181" s="405"/>
      <c r="E181" s="405"/>
      <c r="F181" s="405"/>
    </row>
    <row r="182" spans="1:7">
      <c r="A182" s="405"/>
      <c r="B182" s="405"/>
      <c r="C182" s="405"/>
      <c r="D182" s="405"/>
      <c r="E182" s="405"/>
      <c r="F182" s="405"/>
    </row>
    <row r="183" spans="1:7">
      <c r="A183" s="405"/>
      <c r="B183" s="405"/>
      <c r="C183" s="405"/>
      <c r="D183" s="405"/>
      <c r="E183" s="405"/>
      <c r="F183" s="405"/>
    </row>
    <row r="184" spans="1:7">
      <c r="A184" s="405"/>
      <c r="B184" s="405"/>
      <c r="C184" s="405"/>
      <c r="D184" s="405"/>
      <c r="E184" s="405"/>
      <c r="F184" s="405"/>
    </row>
    <row r="185" spans="1:7">
      <c r="A185" s="405"/>
      <c r="B185" s="405"/>
      <c r="C185" s="405"/>
      <c r="D185" s="405"/>
      <c r="E185" s="405"/>
      <c r="F185" s="405"/>
    </row>
    <row r="186" spans="1:7">
      <c r="A186" s="405"/>
      <c r="B186" s="405"/>
      <c r="C186" s="405"/>
      <c r="D186" s="405"/>
      <c r="E186" s="405"/>
      <c r="F186" s="405"/>
    </row>
    <row r="187" spans="1:7">
      <c r="A187" s="405"/>
      <c r="B187" s="405"/>
      <c r="C187" s="405"/>
      <c r="D187" s="405"/>
      <c r="E187" s="405"/>
      <c r="F187" s="405"/>
    </row>
    <row r="188" spans="1:7">
      <c r="A188" s="405"/>
      <c r="B188" s="405"/>
      <c r="C188" s="405"/>
      <c r="D188" s="405"/>
      <c r="E188" s="405"/>
      <c r="F188" s="405"/>
    </row>
    <row r="189" spans="1:7">
      <c r="A189" s="405"/>
      <c r="B189" s="405"/>
      <c r="C189" s="405"/>
      <c r="D189" s="405"/>
      <c r="E189" s="405"/>
      <c r="F189" s="405"/>
    </row>
    <row r="190" spans="1:7">
      <c r="A190" s="405"/>
      <c r="B190" s="405"/>
      <c r="C190" s="405"/>
      <c r="D190" s="405"/>
      <c r="E190" s="405"/>
      <c r="F190" s="405"/>
    </row>
    <row r="191" spans="1:7">
      <c r="A191" s="405"/>
      <c r="B191" s="405"/>
      <c r="C191" s="405"/>
      <c r="D191" s="405"/>
      <c r="E191" s="405"/>
      <c r="F191" s="405"/>
    </row>
    <row r="192" spans="1:7">
      <c r="A192" s="405"/>
      <c r="B192" s="405"/>
      <c r="C192" s="405"/>
      <c r="D192" s="405"/>
      <c r="E192" s="405"/>
      <c r="F192" s="405"/>
    </row>
    <row r="193" spans="1:6">
      <c r="A193" s="405"/>
      <c r="B193" s="405"/>
      <c r="C193" s="405"/>
      <c r="D193" s="405"/>
      <c r="E193" s="405"/>
      <c r="F193" s="405"/>
    </row>
    <row r="194" spans="1:6">
      <c r="A194" s="405"/>
      <c r="B194" s="405"/>
      <c r="C194" s="405"/>
      <c r="D194" s="405"/>
      <c r="E194" s="405"/>
      <c r="F194" s="405"/>
    </row>
    <row r="195" spans="1:6">
      <c r="A195" s="405"/>
      <c r="B195" s="405"/>
      <c r="C195" s="405"/>
      <c r="D195" s="405"/>
      <c r="E195" s="405"/>
      <c r="F195" s="405"/>
    </row>
    <row r="196" spans="1:6">
      <c r="A196" s="405"/>
      <c r="B196" s="405"/>
      <c r="C196" s="405"/>
      <c r="D196" s="405"/>
      <c r="E196" s="405"/>
      <c r="F196" s="405"/>
    </row>
    <row r="197" spans="1:6">
      <c r="A197" s="405"/>
      <c r="B197" s="405"/>
      <c r="C197" s="405"/>
      <c r="D197" s="405"/>
      <c r="E197" s="405"/>
      <c r="F197" s="405"/>
    </row>
    <row r="198" spans="1:6">
      <c r="A198" s="405"/>
      <c r="B198" s="405"/>
      <c r="C198" s="405"/>
      <c r="D198" s="405"/>
      <c r="E198" s="405"/>
      <c r="F198" s="405"/>
    </row>
    <row r="199" spans="1:6">
      <c r="A199" s="405"/>
      <c r="B199" s="405"/>
      <c r="C199" s="405"/>
      <c r="D199" s="405"/>
      <c r="E199" s="405"/>
      <c r="F199" s="405"/>
    </row>
    <row r="200" spans="1:6">
      <c r="A200" s="405"/>
      <c r="B200" s="405"/>
      <c r="C200" s="405"/>
      <c r="D200" s="405"/>
      <c r="E200" s="405"/>
      <c r="F200" s="405"/>
    </row>
    <row r="201" spans="1:6">
      <c r="A201" s="405"/>
      <c r="B201" s="405"/>
      <c r="C201" s="405"/>
      <c r="D201" s="405"/>
      <c r="E201" s="405"/>
      <c r="F201" s="405"/>
    </row>
    <row r="202" spans="1:6">
      <c r="A202" s="405"/>
      <c r="B202" s="405"/>
      <c r="C202" s="405"/>
      <c r="D202" s="405"/>
      <c r="E202" s="405"/>
      <c r="F202" s="405"/>
    </row>
    <row r="203" spans="1:6">
      <c r="A203" s="405"/>
      <c r="B203" s="405"/>
      <c r="C203" s="405"/>
      <c r="D203" s="405"/>
      <c r="E203" s="405"/>
      <c r="F203" s="405"/>
    </row>
    <row r="204" spans="1:6">
      <c r="A204" s="405"/>
      <c r="B204" s="405"/>
      <c r="C204" s="405"/>
      <c r="D204" s="405"/>
      <c r="E204" s="405"/>
      <c r="F204" s="405"/>
    </row>
    <row r="205" spans="1:6">
      <c r="A205" s="405"/>
      <c r="B205" s="405"/>
      <c r="C205" s="405"/>
      <c r="D205" s="405"/>
      <c r="E205" s="405"/>
      <c r="F205" s="405"/>
    </row>
    <row r="206" spans="1:6">
      <c r="A206" s="405"/>
      <c r="B206" s="405"/>
      <c r="C206" s="405"/>
      <c r="D206" s="405"/>
      <c r="E206" s="405"/>
      <c r="F206" s="405"/>
    </row>
    <row r="207" spans="1:6">
      <c r="A207" s="405"/>
      <c r="B207" s="405"/>
      <c r="C207" s="405"/>
      <c r="D207" s="405"/>
      <c r="E207" s="405"/>
      <c r="F207" s="405"/>
    </row>
    <row r="208" spans="1:6">
      <c r="A208" s="405"/>
      <c r="B208" s="405"/>
      <c r="C208" s="405"/>
      <c r="D208" s="405"/>
      <c r="E208" s="405"/>
      <c r="F208" s="405"/>
    </row>
    <row r="209" spans="1:6">
      <c r="A209" s="405"/>
      <c r="B209" s="405"/>
      <c r="C209" s="405"/>
      <c r="D209" s="405"/>
      <c r="E209" s="405"/>
      <c r="F209" s="405"/>
    </row>
    <row r="210" spans="1:6">
      <c r="A210" s="405"/>
      <c r="B210" s="405"/>
      <c r="C210" s="405"/>
      <c r="D210" s="405"/>
      <c r="E210" s="405"/>
      <c r="F210" s="405"/>
    </row>
    <row r="211" spans="1:6">
      <c r="A211" s="405"/>
      <c r="B211" s="405"/>
      <c r="C211" s="405"/>
      <c r="D211" s="405"/>
      <c r="E211" s="405"/>
      <c r="F211" s="405"/>
    </row>
    <row r="212" spans="1:6">
      <c r="A212" s="405"/>
      <c r="B212" s="405"/>
      <c r="C212" s="405"/>
      <c r="D212" s="405"/>
      <c r="E212" s="405"/>
      <c r="F212" s="405"/>
    </row>
    <row r="213" spans="1:6">
      <c r="A213" s="405"/>
      <c r="B213" s="405"/>
      <c r="C213" s="405"/>
      <c r="D213" s="405"/>
      <c r="E213" s="405"/>
      <c r="F213" s="405"/>
    </row>
    <row r="214" spans="1:6">
      <c r="A214" s="405"/>
      <c r="B214" s="405"/>
      <c r="C214" s="405"/>
      <c r="D214" s="405"/>
      <c r="E214" s="405"/>
      <c r="F214" s="405"/>
    </row>
    <row r="215" spans="1:6">
      <c r="A215" s="405"/>
      <c r="B215" s="405"/>
      <c r="C215" s="405"/>
      <c r="D215" s="405"/>
      <c r="E215" s="405"/>
      <c r="F215" s="405"/>
    </row>
    <row r="216" spans="1:6">
      <c r="A216" s="405"/>
      <c r="B216" s="405"/>
      <c r="C216" s="405"/>
      <c r="D216" s="405"/>
      <c r="E216" s="405"/>
      <c r="F216" s="405"/>
    </row>
    <row r="217" spans="1:6">
      <c r="A217" s="405"/>
      <c r="B217" s="405"/>
      <c r="C217" s="405"/>
      <c r="D217" s="405"/>
      <c r="E217" s="405"/>
      <c r="F217" s="405"/>
    </row>
    <row r="218" spans="1:6">
      <c r="A218" s="405"/>
      <c r="B218" s="405"/>
      <c r="C218" s="405"/>
      <c r="D218" s="405"/>
      <c r="E218" s="405"/>
      <c r="F218" s="405"/>
    </row>
    <row r="219" spans="1:6">
      <c r="A219" s="405"/>
      <c r="B219" s="405"/>
      <c r="C219" s="405"/>
      <c r="D219" s="405"/>
      <c r="E219" s="405"/>
      <c r="F219" s="405"/>
    </row>
    <row r="220" spans="1:6">
      <c r="A220" s="405"/>
      <c r="B220" s="405"/>
      <c r="C220" s="405"/>
      <c r="D220" s="405"/>
      <c r="E220" s="405"/>
      <c r="F220" s="405"/>
    </row>
    <row r="221" spans="1:6">
      <c r="A221" s="405"/>
      <c r="B221" s="405"/>
      <c r="C221" s="405"/>
      <c r="D221" s="405"/>
      <c r="E221" s="405"/>
      <c r="F221" s="405"/>
    </row>
    <row r="222" spans="1:6">
      <c r="A222" s="405"/>
      <c r="B222" s="405"/>
      <c r="C222" s="405"/>
      <c r="D222" s="405"/>
      <c r="E222" s="405"/>
      <c r="F222" s="405"/>
    </row>
    <row r="223" spans="1:6">
      <c r="A223" s="405"/>
      <c r="B223" s="405"/>
      <c r="C223" s="405"/>
      <c r="D223" s="405"/>
      <c r="E223" s="405"/>
      <c r="F223" s="405"/>
    </row>
    <row r="224" spans="1:6">
      <c r="A224" s="405"/>
      <c r="B224" s="405"/>
      <c r="C224" s="405"/>
      <c r="D224" s="405"/>
      <c r="E224" s="405"/>
      <c r="F224" s="405"/>
    </row>
    <row r="225" spans="1:6">
      <c r="A225" s="405"/>
      <c r="B225" s="405"/>
      <c r="C225" s="405"/>
      <c r="D225" s="405"/>
      <c r="E225" s="405"/>
      <c r="F225" s="405"/>
    </row>
    <row r="226" spans="1:6">
      <c r="A226" s="405"/>
      <c r="B226" s="405"/>
      <c r="C226" s="405"/>
      <c r="D226" s="405"/>
      <c r="E226" s="405"/>
      <c r="F226" s="405"/>
    </row>
    <row r="227" spans="1:6">
      <c r="A227" s="405"/>
      <c r="B227" s="405"/>
      <c r="C227" s="405"/>
      <c r="D227" s="405"/>
      <c r="E227" s="405"/>
      <c r="F227" s="405"/>
    </row>
    <row r="228" spans="1:6">
      <c r="A228" s="405"/>
      <c r="B228" s="405"/>
      <c r="C228" s="405"/>
      <c r="D228" s="405"/>
      <c r="E228" s="405"/>
      <c r="F228" s="405"/>
    </row>
    <row r="229" spans="1:6">
      <c r="A229" s="405"/>
      <c r="B229" s="405"/>
      <c r="C229" s="405"/>
      <c r="D229" s="405"/>
      <c r="E229" s="405"/>
      <c r="F229" s="405"/>
    </row>
    <row r="230" spans="1:6">
      <c r="A230" s="405"/>
      <c r="B230" s="405"/>
      <c r="C230" s="405"/>
      <c r="D230" s="405"/>
      <c r="E230" s="405"/>
      <c r="F230" s="405"/>
    </row>
    <row r="231" spans="1:6">
      <c r="A231" s="405"/>
      <c r="B231" s="405"/>
      <c r="C231" s="405"/>
      <c r="D231" s="405"/>
      <c r="E231" s="405"/>
      <c r="F231" s="405"/>
    </row>
    <row r="232" spans="1:6">
      <c r="A232" s="405"/>
      <c r="B232" s="405"/>
      <c r="C232" s="405"/>
      <c r="D232" s="405"/>
      <c r="E232" s="405"/>
      <c r="F232" s="405"/>
    </row>
    <row r="233" spans="1:6">
      <c r="A233" s="405"/>
      <c r="B233" s="405"/>
      <c r="C233" s="405"/>
      <c r="D233" s="405"/>
      <c r="E233" s="405"/>
      <c r="F233" s="405"/>
    </row>
    <row r="234" spans="1:6">
      <c r="A234" s="405"/>
      <c r="B234" s="405"/>
      <c r="C234" s="405"/>
      <c r="D234" s="405"/>
      <c r="E234" s="405"/>
      <c r="F234" s="405"/>
    </row>
    <row r="235" spans="1:6">
      <c r="A235" s="405"/>
      <c r="B235" s="405"/>
      <c r="C235" s="405"/>
      <c r="D235" s="405"/>
      <c r="E235" s="405"/>
      <c r="F235" s="405"/>
    </row>
  </sheetData>
  <protectedRanges>
    <protectedRange sqref="C3 B11:C17 C19:D19 F19:G19 B43:C47 B78:B80 B153:C165 B104:C104 C130 C138 C148 B93:C102 B50:C50 B28:B36 B82:B92 B51:B76 B105:B128 B133:C136 B141:C146 F39:F47 G39:G42" name="Public Sector Assets"/>
    <protectedRange sqref="B168:C171" name="NPLs"/>
    <protectedRange sqref="C173:C179 B174:B179" name="Concentration Risks"/>
  </protectedRanges>
  <hyperlinks>
    <hyperlink ref="B6" location="'B2. HTT Public Sector Assets'!B8" display="8. Public Sector Assets" xr:uid="{4888DBA0-AAD6-4FC2-8314-AE4D787CBF54}"/>
    <hyperlink ref="B129" location="'2. Harmonised Glossary'!A9" display="Breakdown by Interest Rate" xr:uid="{E9E68EED-9FE4-40BD-A902-BED96E914C4B}"/>
    <hyperlink ref="B166" location="'2. Harmonised Glossary'!A14" display="Non-Performing Loans" xr:uid="{D3246084-92A9-4941-854F-9E938C7543D4}"/>
  </hyperlinks>
  <pageMargins left="0.7" right="0.7" top="0.78740157499999996" bottom="0.78740157499999996"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15887-30D6-4292-91A7-193E474C027A}">
  <sheetPr>
    <tabColor rgb="FFC00000"/>
  </sheetPr>
  <dimension ref="A1:A15"/>
  <sheetViews>
    <sheetView workbookViewId="0">
      <selection activeCell="E47" sqref="E47"/>
    </sheetView>
  </sheetViews>
  <sheetFormatPr baseColWidth="10" defaultColWidth="11.42578125" defaultRowHeight="15"/>
  <cols>
    <col min="1" max="1" width="15.28515625" style="510" bestFit="1" customWidth="1"/>
    <col min="2" max="16384" width="11.42578125" style="510"/>
  </cols>
  <sheetData>
    <row r="1" spans="1:1">
      <c r="A1" s="510" t="s">
        <v>4245</v>
      </c>
    </row>
    <row r="2" spans="1:1">
      <c r="A2" s="510" t="s">
        <v>4246</v>
      </c>
    </row>
    <row r="3" spans="1:1">
      <c r="A3" s="510" t="s">
        <v>4247</v>
      </c>
    </row>
    <row r="4" spans="1:1">
      <c r="A4" s="510" t="s">
        <v>4248</v>
      </c>
    </row>
    <row r="5" spans="1:1">
      <c r="A5" s="510" t="s">
        <v>4249</v>
      </c>
    </row>
    <row r="6" spans="1:1">
      <c r="A6" s="510" t="s">
        <v>4250</v>
      </c>
    </row>
    <row r="7" spans="1:1">
      <c r="A7" s="510" t="s">
        <v>4251</v>
      </c>
    </row>
    <row r="8" spans="1:1">
      <c r="A8" s="510" t="s">
        <v>4252</v>
      </c>
    </row>
    <row r="9" spans="1:1">
      <c r="A9" s="510" t="s">
        <v>4253</v>
      </c>
    </row>
    <row r="10" spans="1:1">
      <c r="A10" s="510" t="s">
        <v>4254</v>
      </c>
    </row>
    <row r="11" spans="1:1">
      <c r="A11" s="510" t="s">
        <v>4255</v>
      </c>
    </row>
    <row r="12" spans="1:1">
      <c r="A12" s="510" t="s">
        <v>4256</v>
      </c>
    </row>
    <row r="13" spans="1:1">
      <c r="A13" s="510" t="s">
        <v>4257</v>
      </c>
    </row>
    <row r="14" spans="1:1">
      <c r="A14" s="510" t="s">
        <v>4258</v>
      </c>
    </row>
    <row r="15" spans="1:1">
      <c r="A15" s="511"/>
    </row>
  </sheetData>
  <pageMargins left="0.7" right="0.7" top="0.78740157499999996" bottom="0.78740157499999996"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
    <pageSetUpPr fitToPage="1"/>
  </sheetPr>
  <dimension ref="A2:BH986"/>
  <sheetViews>
    <sheetView topLeftCell="F50" zoomScale="85" zoomScaleNormal="85" workbookViewId="0">
      <selection activeCell="F68" sqref="F68"/>
    </sheetView>
  </sheetViews>
  <sheetFormatPr baseColWidth="10" defaultColWidth="9.140625" defaultRowHeight="12.75"/>
  <cols>
    <col min="1" max="1" width="36.5703125" style="10" bestFit="1" customWidth="1"/>
    <col min="2" max="2" width="34" style="10" customWidth="1"/>
    <col min="3" max="3" width="29.42578125" style="10" customWidth="1"/>
    <col min="4" max="4" width="9.7109375" style="10" customWidth="1"/>
    <col min="5" max="5" width="30.5703125" style="10" bestFit="1" customWidth="1"/>
    <col min="6" max="7" width="51.140625" style="10" bestFit="1" customWidth="1"/>
    <col min="8" max="8" width="29.42578125" style="10" customWidth="1"/>
    <col min="9" max="9" width="23.7109375" style="10" bestFit="1" customWidth="1"/>
    <col min="10" max="10" width="23.140625" style="10" bestFit="1" customWidth="1"/>
    <col min="11" max="11" width="47.85546875" style="10" bestFit="1" customWidth="1"/>
    <col min="12" max="12" width="22.140625" style="10" bestFit="1" customWidth="1"/>
    <col min="13" max="13" width="11.28515625" style="10" bestFit="1" customWidth="1"/>
    <col min="14" max="14" width="22" style="10" bestFit="1" customWidth="1"/>
    <col min="15" max="15" width="22" style="10" customWidth="1"/>
    <col min="16" max="16" width="12.85546875" style="10" bestFit="1" customWidth="1"/>
    <col min="17" max="17" width="7.140625" style="10" bestFit="1" customWidth="1"/>
    <col min="18" max="18" width="6.7109375" style="10" bestFit="1" customWidth="1"/>
    <col min="19" max="19" width="22.85546875" style="10" bestFit="1" customWidth="1"/>
    <col min="20" max="20" width="18.28515625" style="10" bestFit="1" customWidth="1"/>
    <col min="21" max="21" width="16" style="10" bestFit="1" customWidth="1"/>
    <col min="22" max="22" width="25.42578125" style="10" customWidth="1"/>
    <col min="23" max="23" width="18.42578125" style="10" bestFit="1" customWidth="1"/>
    <col min="24" max="24" width="14.140625" style="10" bestFit="1" customWidth="1"/>
    <col min="25" max="25" width="14.140625" style="10" customWidth="1"/>
    <col min="26" max="26" width="7" style="10" customWidth="1"/>
    <col min="27" max="27" width="45.7109375" style="10" bestFit="1" customWidth="1"/>
    <col min="28" max="28" width="45.42578125" style="10" bestFit="1" customWidth="1"/>
    <col min="29" max="30" width="17.140625" style="10" bestFit="1" customWidth="1"/>
    <col min="31" max="31" width="20.140625" style="10" bestFit="1" customWidth="1"/>
    <col min="32" max="32" width="23.140625" style="10" bestFit="1" customWidth="1"/>
    <col min="33" max="33" width="17.5703125" style="10" bestFit="1" customWidth="1"/>
    <col min="34" max="34" width="23.140625" style="10" bestFit="1" customWidth="1"/>
    <col min="35" max="35" width="35.85546875" style="10" bestFit="1" customWidth="1"/>
    <col min="36" max="36" width="19.5703125" style="10" customWidth="1"/>
    <col min="37" max="37" width="18.28515625" style="10" customWidth="1"/>
    <col min="38" max="38" width="23" style="10" customWidth="1"/>
    <col min="39" max="39" width="24.42578125" style="10" customWidth="1"/>
    <col min="40" max="40" width="15.28515625" style="10" bestFit="1" customWidth="1"/>
    <col min="41" max="41" width="14.42578125" style="10" bestFit="1" customWidth="1"/>
    <col min="42" max="16384" width="9.140625" style="10"/>
  </cols>
  <sheetData>
    <row r="2" spans="1:60">
      <c r="BG2"/>
      <c r="BH2"/>
    </row>
    <row r="3" spans="1:60">
      <c r="D3" s="10">
        <v>1</v>
      </c>
      <c r="E3" s="10">
        <v>2</v>
      </c>
      <c r="F3" s="10">
        <v>3</v>
      </c>
      <c r="G3" s="10">
        <v>4</v>
      </c>
      <c r="H3" s="10">
        <v>5</v>
      </c>
      <c r="I3" s="10">
        <v>6</v>
      </c>
      <c r="J3" s="10">
        <v>7</v>
      </c>
      <c r="K3" s="10">
        <v>8</v>
      </c>
      <c r="L3" s="10">
        <v>9</v>
      </c>
      <c r="M3" s="10">
        <v>10</v>
      </c>
      <c r="N3" s="10">
        <v>11</v>
      </c>
      <c r="O3" s="10">
        <v>12</v>
      </c>
      <c r="P3" s="10">
        <v>13</v>
      </c>
      <c r="Q3" s="10">
        <v>14</v>
      </c>
      <c r="R3" s="10">
        <v>15</v>
      </c>
      <c r="S3" s="10">
        <v>16</v>
      </c>
      <c r="T3" s="10">
        <v>17</v>
      </c>
      <c r="U3" s="10">
        <v>18</v>
      </c>
      <c r="V3" s="10">
        <v>19</v>
      </c>
      <c r="W3" s="10">
        <v>20</v>
      </c>
      <c r="X3" s="10">
        <v>21</v>
      </c>
      <c r="Y3" s="10">
        <v>22</v>
      </c>
      <c r="Z3" s="10">
        <v>23</v>
      </c>
      <c r="AA3" s="10">
        <v>24</v>
      </c>
      <c r="AB3" s="10">
        <v>25</v>
      </c>
      <c r="AC3" s="10">
        <v>26</v>
      </c>
      <c r="AD3" s="10">
        <v>27</v>
      </c>
      <c r="AE3" s="10">
        <v>28</v>
      </c>
      <c r="AF3" s="10">
        <v>29</v>
      </c>
      <c r="AG3" s="10">
        <v>30</v>
      </c>
      <c r="AH3" s="10">
        <v>31</v>
      </c>
      <c r="AI3" s="10">
        <v>32</v>
      </c>
      <c r="AJ3" s="10">
        <v>33</v>
      </c>
      <c r="AK3" s="10">
        <v>34</v>
      </c>
      <c r="AL3" s="10">
        <v>35</v>
      </c>
      <c r="AM3" s="10">
        <v>36</v>
      </c>
      <c r="AN3" s="10">
        <v>37</v>
      </c>
      <c r="AO3" s="10">
        <v>38</v>
      </c>
      <c r="AP3" s="10">
        <v>39</v>
      </c>
      <c r="AQ3" s="10">
        <v>40</v>
      </c>
      <c r="AR3" s="10">
        <v>41</v>
      </c>
      <c r="AS3" s="10">
        <v>42</v>
      </c>
      <c r="AT3" s="10">
        <v>43</v>
      </c>
      <c r="AU3" s="10">
        <v>44</v>
      </c>
      <c r="AV3" s="10">
        <v>45</v>
      </c>
      <c r="AW3" s="10">
        <v>46</v>
      </c>
      <c r="AX3" s="10">
        <v>47</v>
      </c>
      <c r="AY3" s="10">
        <v>48</v>
      </c>
      <c r="AZ3" s="10">
        <v>49</v>
      </c>
      <c r="BA3" s="10">
        <v>50</v>
      </c>
      <c r="BB3" s="10">
        <v>51</v>
      </c>
      <c r="BC3" s="10">
        <v>52</v>
      </c>
      <c r="BD3" s="10">
        <v>53</v>
      </c>
      <c r="BE3" s="10">
        <v>54</v>
      </c>
      <c r="BF3" s="10">
        <v>55</v>
      </c>
      <c r="BG3" s="10">
        <v>56</v>
      </c>
      <c r="BH3"/>
    </row>
    <row r="4" spans="1:60" ht="13.5" thickBot="1">
      <c r="B4" s="3" t="s">
        <v>771</v>
      </c>
      <c r="D4" s="10">
        <f t="shared" ref="D4:BF4" si="0">+COUNTIF(D6:D29,"&lt;&gt;" )</f>
        <v>12</v>
      </c>
      <c r="E4" s="10">
        <f t="shared" si="0"/>
        <v>13</v>
      </c>
      <c r="F4" s="10">
        <f t="shared" si="0"/>
        <v>7</v>
      </c>
      <c r="G4" s="10">
        <f t="shared" si="0"/>
        <v>5</v>
      </c>
      <c r="H4" s="10">
        <f t="shared" si="0"/>
        <v>10</v>
      </c>
      <c r="I4" s="10">
        <f t="shared" si="0"/>
        <v>18</v>
      </c>
      <c r="J4" s="10">
        <f t="shared" si="0"/>
        <v>20</v>
      </c>
      <c r="K4" s="10">
        <f t="shared" si="0"/>
        <v>14</v>
      </c>
      <c r="L4" s="10">
        <f t="shared" si="0"/>
        <v>24</v>
      </c>
      <c r="M4" s="10">
        <f t="shared" si="0"/>
        <v>24</v>
      </c>
      <c r="N4" s="10">
        <f t="shared" si="0"/>
        <v>24</v>
      </c>
      <c r="O4" s="10">
        <f t="shared" si="0"/>
        <v>5</v>
      </c>
      <c r="P4" s="10">
        <f t="shared" si="0"/>
        <v>13</v>
      </c>
      <c r="Q4" s="10">
        <f t="shared" si="0"/>
        <v>15</v>
      </c>
      <c r="R4" s="10">
        <f t="shared" si="0"/>
        <v>20</v>
      </c>
      <c r="S4" s="10">
        <f t="shared" si="0"/>
        <v>13</v>
      </c>
      <c r="T4" s="10">
        <f t="shared" si="0"/>
        <v>23</v>
      </c>
      <c r="U4" s="10">
        <f t="shared" si="0"/>
        <v>21</v>
      </c>
      <c r="V4" s="10">
        <f t="shared" si="0"/>
        <v>14</v>
      </c>
      <c r="W4" s="10">
        <f t="shared" si="0"/>
        <v>12</v>
      </c>
      <c r="X4" s="10">
        <f t="shared" si="0"/>
        <v>16</v>
      </c>
      <c r="Y4" s="10">
        <f t="shared" si="0"/>
        <v>19</v>
      </c>
      <c r="Z4" s="10">
        <f t="shared" si="0"/>
        <v>1</v>
      </c>
      <c r="AA4" s="10">
        <f t="shared" si="0"/>
        <v>18</v>
      </c>
      <c r="AB4" s="10">
        <f t="shared" si="0"/>
        <v>7</v>
      </c>
      <c r="AC4" s="10">
        <f t="shared" si="0"/>
        <v>21</v>
      </c>
      <c r="AD4" s="10">
        <f t="shared" si="0"/>
        <v>6</v>
      </c>
      <c r="AE4" s="10">
        <f t="shared" si="0"/>
        <v>12</v>
      </c>
      <c r="AF4" s="10">
        <f t="shared" si="0"/>
        <v>4</v>
      </c>
      <c r="AG4" s="10">
        <f t="shared" si="0"/>
        <v>12</v>
      </c>
      <c r="AH4" s="10">
        <f t="shared" si="0"/>
        <v>24</v>
      </c>
      <c r="AI4" s="10">
        <f t="shared" si="0"/>
        <v>24</v>
      </c>
      <c r="AJ4" s="10">
        <f t="shared" si="0"/>
        <v>6</v>
      </c>
      <c r="AK4" s="10">
        <f t="shared" si="0"/>
        <v>6</v>
      </c>
      <c r="AL4" s="10">
        <f t="shared" si="0"/>
        <v>6</v>
      </c>
      <c r="AM4" s="10">
        <f t="shared" si="0"/>
        <v>6</v>
      </c>
      <c r="AN4" s="10">
        <f t="shared" si="0"/>
        <v>4</v>
      </c>
      <c r="AO4" s="10">
        <f t="shared" si="0"/>
        <v>4</v>
      </c>
      <c r="AP4" s="10">
        <f t="shared" si="0"/>
        <v>4</v>
      </c>
      <c r="AQ4" s="10">
        <f t="shared" si="0"/>
        <v>4</v>
      </c>
      <c r="AR4" s="10">
        <f t="shared" si="0"/>
        <v>4</v>
      </c>
      <c r="AS4" s="10">
        <f t="shared" si="0"/>
        <v>4</v>
      </c>
      <c r="AT4" s="10">
        <f t="shared" si="0"/>
        <v>4</v>
      </c>
      <c r="AU4" s="10">
        <f t="shared" si="0"/>
        <v>4</v>
      </c>
      <c r="AV4" s="10">
        <f t="shared" si="0"/>
        <v>4</v>
      </c>
      <c r="AW4" s="10">
        <f t="shared" si="0"/>
        <v>4</v>
      </c>
      <c r="AX4" s="10">
        <f t="shared" si="0"/>
        <v>4</v>
      </c>
      <c r="AY4" s="10">
        <f t="shared" si="0"/>
        <v>4</v>
      </c>
      <c r="AZ4" s="10">
        <f t="shared" si="0"/>
        <v>4</v>
      </c>
      <c r="BA4" s="10">
        <f t="shared" si="0"/>
        <v>4</v>
      </c>
      <c r="BB4" s="10">
        <f t="shared" si="0"/>
        <v>4</v>
      </c>
      <c r="BC4" s="10">
        <f t="shared" si="0"/>
        <v>4</v>
      </c>
      <c r="BD4" s="10">
        <f t="shared" si="0"/>
        <v>4</v>
      </c>
      <c r="BE4" s="10">
        <f t="shared" si="0"/>
        <v>4</v>
      </c>
      <c r="BF4" s="10">
        <f t="shared" si="0"/>
        <v>4</v>
      </c>
      <c r="BG4" s="10">
        <f>+COUNTIF(BG6:BG29,"&lt;&gt;" )</f>
        <v>1</v>
      </c>
      <c r="BH4"/>
    </row>
    <row r="5" spans="1:60" ht="13.5" thickBot="1">
      <c r="A5" s="3" t="s">
        <v>772</v>
      </c>
      <c r="B5" s="10" t="s">
        <v>37</v>
      </c>
      <c r="D5" s="201" t="e">
        <f>INDEX(Language!$D$6:$K$1231,1111,#REF!)</f>
        <v>#REF!</v>
      </c>
      <c r="E5" s="202" t="e">
        <f>INDEX(Language!$D$6:$K$1231,1112,#REF!)</f>
        <v>#REF!</v>
      </c>
      <c r="F5" s="202" t="e">
        <f>INDEX(Language!$D$6:$K$1231,1113,#REF!)</f>
        <v>#REF!</v>
      </c>
      <c r="G5" s="202" t="e">
        <f>INDEX(Language!$D$6:$K$1231,1114,#REF!)</f>
        <v>#REF!</v>
      </c>
      <c r="H5" s="202" t="e">
        <f>INDEX(Language!$D$6:$K$1231,1115,#REF!)</f>
        <v>#REF!</v>
      </c>
      <c r="I5" s="202" t="e">
        <f>INDEX(Language!$D$6:$K$1231,1116,#REF!)</f>
        <v>#REF!</v>
      </c>
      <c r="J5" s="202" t="e">
        <f>INDEX(Language!$D$6:$K$1231,1117,#REF!)</f>
        <v>#REF!</v>
      </c>
      <c r="K5" s="202" t="e">
        <f>INDEX(Language!$D$6:$K$1231,1118,#REF!)</f>
        <v>#REF!</v>
      </c>
      <c r="L5" s="202" t="e">
        <f>INDEX(Language!$D$6:$K$1231,1119,#REF!)</f>
        <v>#REF!</v>
      </c>
      <c r="M5" s="202" t="e">
        <f>INDEX(Language!$D$6:$K$1231,1120,#REF!)</f>
        <v>#REF!</v>
      </c>
      <c r="N5" s="202" t="e">
        <f>INDEX(Language!$D$6:$K$1231,1121,#REF!)</f>
        <v>#REF!</v>
      </c>
      <c r="O5" s="202" t="e">
        <f>INDEX(Language!$D$6:$K$1231,1122,#REF!)</f>
        <v>#REF!</v>
      </c>
      <c r="P5" s="202" t="e">
        <f>INDEX(Language!$D$6:$K$1231,1123,#REF!)</f>
        <v>#REF!</v>
      </c>
      <c r="Q5" s="202" t="e">
        <f>INDEX(Language!$D$6:$K$1231,1124,#REF!)</f>
        <v>#REF!</v>
      </c>
      <c r="R5" s="202" t="e">
        <f>INDEX(Language!$D$6:$K$1231,1125,#REF!)</f>
        <v>#REF!</v>
      </c>
      <c r="S5" s="202" t="e">
        <f>INDEX(Language!$D$6:$K$1231,1126,#REF!)</f>
        <v>#REF!</v>
      </c>
      <c r="T5" s="202" t="e">
        <f>INDEX(Language!$D$6:$K$1231,1127,#REF!)</f>
        <v>#REF!</v>
      </c>
      <c r="U5" s="202" t="e">
        <f>INDEX(Language!$D$6:$K$1231,1128,#REF!)</f>
        <v>#REF!</v>
      </c>
      <c r="V5" s="202" t="e">
        <f>INDEX(Language!$D$6:$K$1231,1129,#REF!)</f>
        <v>#REF!</v>
      </c>
      <c r="W5" s="202" t="e">
        <f>INDEX(Language!$D$6:$K$1231,1130,#REF!)</f>
        <v>#REF!</v>
      </c>
      <c r="X5" s="202" t="e">
        <f>INDEX(Language!$D$6:$K$1231,1131,#REF!)</f>
        <v>#REF!</v>
      </c>
      <c r="Y5" s="202" t="e">
        <f>INDEX(Language!$D$6:$K$1231,1132,#REF!)</f>
        <v>#REF!</v>
      </c>
      <c r="Z5" s="271" t="e">
        <f>INDEX(Language!$D$6:$K$1231,1133,#REF!)</f>
        <v>#REF!</v>
      </c>
      <c r="AA5" s="203" t="e">
        <f>INDEX(Language!$D$6:$K$1231,1134,#REF!)</f>
        <v>#REF!</v>
      </c>
      <c r="AB5" s="203" t="s">
        <v>328</v>
      </c>
      <c r="AC5" s="203" t="s">
        <v>773</v>
      </c>
      <c r="AD5" s="203" t="s">
        <v>330</v>
      </c>
      <c r="AE5" s="203" t="e">
        <f>INDEX(Language!$D$6:$K$2227,1731,#REF!)</f>
        <v>#REF!</v>
      </c>
      <c r="AF5" s="203" t="e">
        <f>INDEX(Language!$D$6:$K$2227,1727,#REF!)</f>
        <v>#REF!</v>
      </c>
      <c r="AG5" s="203" t="e">
        <f>INDEX(Language!$D$6:$K$2227,1729,#REF!)</f>
        <v>#REF!</v>
      </c>
      <c r="AH5" s="203" t="e">
        <f>INDEX(Language!$D$6:$K$2227,1730,#REF!)</f>
        <v>#REF!</v>
      </c>
      <c r="AI5" s="203" t="e">
        <f>INDEX(Language!$D$6:$K$2227,1733,#REF!)</f>
        <v>#REF!</v>
      </c>
      <c r="AJ5" s="203" t="e">
        <f>INDEX(Language!$D$6:$K$2227,1728,#REF!)</f>
        <v>#REF!</v>
      </c>
      <c r="AK5" s="203" t="e">
        <f>INDEX(Language!$D$6:$K$2227,1734,#REF!)</f>
        <v>#REF!</v>
      </c>
      <c r="AL5" s="203" t="e">
        <f>INDEX(Language!$D$6:$K$2227,1735,#REF!)</f>
        <v>#REF!</v>
      </c>
      <c r="AM5" s="203" t="e">
        <f>INDEX(Language!$D$6:$K$2227,1736,#REF!)</f>
        <v>#REF!</v>
      </c>
      <c r="AN5" s="203" t="e">
        <f>INDEX(Language!$D$6:$K$2229,1737,#REF!)</f>
        <v>#REF!</v>
      </c>
      <c r="AO5" s="203" t="e">
        <f>INDEX(Language!$D$6:$K$2229,1738,#REF!)</f>
        <v>#REF!</v>
      </c>
      <c r="AP5" s="203" t="e">
        <f>INDEX(Language!$D$6:$K$2229,1739,#REF!)</f>
        <v>#REF!</v>
      </c>
      <c r="AQ5" s="203" t="e">
        <f>INDEX(Language!$D$6:$K$2229,1740,#REF!)</f>
        <v>#REF!</v>
      </c>
      <c r="AR5" s="203" t="e">
        <f>INDEX(Language!$D$6:$K$2229,1741,#REF!)</f>
        <v>#REF!</v>
      </c>
      <c r="AS5" s="203" t="e">
        <f>INDEX(Language!$D$6:$K$2229,1742,#REF!)</f>
        <v>#REF!</v>
      </c>
      <c r="AT5" s="203" t="e">
        <f>INDEX(Language!$D$6:$K$2229,1743,#REF!)</f>
        <v>#REF!</v>
      </c>
      <c r="AU5" s="203" t="e">
        <f>INDEX(Language!$D$6:$K$2229,1744,#REF!)</f>
        <v>#REF!</v>
      </c>
      <c r="AV5" s="203" t="e">
        <f>INDEX(Language!$D$6:$K$2229,1745,#REF!)</f>
        <v>#REF!</v>
      </c>
      <c r="AW5" s="203" t="e">
        <f>INDEX(Language!$D$6:$K$2229,1746,#REF!)</f>
        <v>#REF!</v>
      </c>
      <c r="AX5" s="203" t="e">
        <f>INDEX(Language!$D$6:$K$2229,1747,#REF!)</f>
        <v>#REF!</v>
      </c>
      <c r="AY5" s="203" t="e">
        <f>INDEX(Language!$D$6:$K$2229,1748,#REF!)</f>
        <v>#REF!</v>
      </c>
      <c r="AZ5" s="203" t="e">
        <f>INDEX(Language!$D$6:$K$2229,1749,#REF!)</f>
        <v>#REF!</v>
      </c>
      <c r="BA5" s="203" t="e">
        <f>INDEX(Language!$D$6:$K$2229,1750,#REF!)</f>
        <v>#REF!</v>
      </c>
      <c r="BB5" s="203" t="e">
        <f>INDEX(Language!$D$6:$K$2229,1751,#REF!)</f>
        <v>#REF!</v>
      </c>
      <c r="BC5" s="203" t="e">
        <f>INDEX(Language!$D$6:$K$2229,1752,#REF!)</f>
        <v>#REF!</v>
      </c>
      <c r="BD5" s="203" t="e">
        <f>INDEX(Language!$D$6:$K$2229,1753,#REF!)</f>
        <v>#REF!</v>
      </c>
      <c r="BE5" s="203" t="e">
        <f>INDEX(Language!$D$6:$K$2229,1754,#REF!)</f>
        <v>#REF!</v>
      </c>
      <c r="BF5" s="203" t="e">
        <f>INDEX(Language!$D$6:$K$2229,1755,#REF!)</f>
        <v>#REF!</v>
      </c>
      <c r="BG5" s="203" t="e">
        <f>INDEX(Language!$D$6:$K$2229,1732,#REF!)</f>
        <v>#REF!</v>
      </c>
      <c r="BH5"/>
    </row>
    <row r="6" spans="1:60">
      <c r="A6" s="10" t="e">
        <f>INDEX(Language!$D$6:$K$1231,1111,#REF!)</f>
        <v>#REF!</v>
      </c>
      <c r="B6" s="10" t="s">
        <v>228</v>
      </c>
      <c r="C6" s="10">
        <v>1</v>
      </c>
      <c r="D6" s="199" t="s">
        <v>774</v>
      </c>
      <c r="E6" s="200" t="s">
        <v>564</v>
      </c>
      <c r="F6" s="200" t="s">
        <v>775</v>
      </c>
      <c r="G6" s="200" t="s">
        <v>322</v>
      </c>
      <c r="H6" s="193" t="s">
        <v>776</v>
      </c>
      <c r="I6" s="200" t="s">
        <v>777</v>
      </c>
      <c r="J6" s="200" t="s">
        <v>778</v>
      </c>
      <c r="K6" s="200" t="s">
        <v>779</v>
      </c>
      <c r="L6" s="200" t="s">
        <v>780</v>
      </c>
      <c r="M6" s="200" t="s">
        <v>781</v>
      </c>
      <c r="N6" s="200" t="s">
        <v>782</v>
      </c>
      <c r="O6" s="200" t="s">
        <v>324</v>
      </c>
      <c r="P6" s="200" t="s">
        <v>783</v>
      </c>
      <c r="Q6" s="200" t="s">
        <v>784</v>
      </c>
      <c r="R6" s="200" t="s">
        <v>785</v>
      </c>
      <c r="S6" s="200" t="s">
        <v>786</v>
      </c>
      <c r="T6" s="200" t="s">
        <v>787</v>
      </c>
      <c r="U6" s="200" t="s">
        <v>788</v>
      </c>
      <c r="V6" s="200" t="s">
        <v>789</v>
      </c>
      <c r="W6" s="200" t="s">
        <v>790</v>
      </c>
      <c r="X6" s="200" t="s">
        <v>791</v>
      </c>
      <c r="Y6" s="200" t="s">
        <v>792</v>
      </c>
      <c r="Z6" s="272" t="e">
        <f>Z5</f>
        <v>#REF!</v>
      </c>
      <c r="AA6" s="195" t="s">
        <v>793</v>
      </c>
      <c r="AB6" s="319" t="s">
        <v>794</v>
      </c>
      <c r="AC6" s="275" t="s">
        <v>795</v>
      </c>
      <c r="AD6" s="275" t="s">
        <v>796</v>
      </c>
      <c r="AE6" s="275" t="s">
        <v>797</v>
      </c>
      <c r="AF6" s="275" t="s">
        <v>537</v>
      </c>
      <c r="AG6" s="275" t="s">
        <v>798</v>
      </c>
      <c r="AH6" s="275" t="s">
        <v>799</v>
      </c>
      <c r="AI6" s="275" t="s">
        <v>800</v>
      </c>
      <c r="AJ6" s="275" t="s">
        <v>801</v>
      </c>
      <c r="AK6" s="275" t="s">
        <v>802</v>
      </c>
      <c r="AL6" s="275" t="s">
        <v>803</v>
      </c>
      <c r="AM6" s="275" t="s">
        <v>804</v>
      </c>
      <c r="AN6" s="275" t="e">
        <f>AN5</f>
        <v>#REF!</v>
      </c>
      <c r="AO6" s="275" t="e">
        <f>AO5</f>
        <v>#REF!</v>
      </c>
      <c r="AP6" s="275" t="e">
        <f t="shared" ref="AP6:AX6" si="1">AP5</f>
        <v>#REF!</v>
      </c>
      <c r="AQ6" s="275" t="e">
        <f t="shared" si="1"/>
        <v>#REF!</v>
      </c>
      <c r="AR6" s="275" t="e">
        <f t="shared" si="1"/>
        <v>#REF!</v>
      </c>
      <c r="AS6" s="275" t="e">
        <f t="shared" si="1"/>
        <v>#REF!</v>
      </c>
      <c r="AT6" s="275" t="e">
        <f t="shared" si="1"/>
        <v>#REF!</v>
      </c>
      <c r="AU6" s="275" t="e">
        <f t="shared" si="1"/>
        <v>#REF!</v>
      </c>
      <c r="AV6" s="275" t="e">
        <f t="shared" si="1"/>
        <v>#REF!</v>
      </c>
      <c r="AW6" s="275" t="e">
        <f t="shared" si="1"/>
        <v>#REF!</v>
      </c>
      <c r="AX6" s="275" t="e">
        <f t="shared" si="1"/>
        <v>#REF!</v>
      </c>
      <c r="AY6" s="275" t="e">
        <f t="shared" ref="AY6:BG6" si="2">AY5</f>
        <v>#REF!</v>
      </c>
      <c r="AZ6" s="275" t="e">
        <f t="shared" si="2"/>
        <v>#REF!</v>
      </c>
      <c r="BA6" s="275" t="e">
        <f t="shared" si="2"/>
        <v>#REF!</v>
      </c>
      <c r="BB6" s="275" t="e">
        <f t="shared" si="2"/>
        <v>#REF!</v>
      </c>
      <c r="BC6" s="275" t="e">
        <f t="shared" si="2"/>
        <v>#REF!</v>
      </c>
      <c r="BD6" s="275" t="e">
        <f t="shared" si="2"/>
        <v>#REF!</v>
      </c>
      <c r="BE6" s="275" t="e">
        <f t="shared" si="2"/>
        <v>#REF!</v>
      </c>
      <c r="BF6" s="275" t="e">
        <f t="shared" si="2"/>
        <v>#REF!</v>
      </c>
      <c r="BG6" s="275" t="e">
        <f t="shared" si="2"/>
        <v>#REF!</v>
      </c>
      <c r="BH6"/>
    </row>
    <row r="7" spans="1:60">
      <c r="A7" s="10" t="e">
        <f>INDEX(Language!$D$6:$K$1231,1112,#REF!)</f>
        <v>#REF!</v>
      </c>
      <c r="B7" s="10" t="s">
        <v>212</v>
      </c>
      <c r="C7" s="10">
        <v>2</v>
      </c>
      <c r="D7" s="194" t="s">
        <v>805</v>
      </c>
      <c r="E7" s="193" t="s">
        <v>565</v>
      </c>
      <c r="F7" s="193" t="s">
        <v>806</v>
      </c>
      <c r="G7" s="193" t="e">
        <f>"No data"&amp;"_"&amp;G$5</f>
        <v>#REF!</v>
      </c>
      <c r="H7" s="193" t="s">
        <v>807</v>
      </c>
      <c r="I7" s="193" t="s">
        <v>808</v>
      </c>
      <c r="J7" s="193" t="s">
        <v>809</v>
      </c>
      <c r="K7" s="193" t="s">
        <v>810</v>
      </c>
      <c r="L7" s="193" t="s">
        <v>811</v>
      </c>
      <c r="M7" s="193" t="s">
        <v>812</v>
      </c>
      <c r="N7" s="193" t="s">
        <v>813</v>
      </c>
      <c r="O7" s="193" t="e">
        <f>"No data"&amp;"_"&amp;O$5</f>
        <v>#REF!</v>
      </c>
      <c r="P7" s="193" t="s">
        <v>814</v>
      </c>
      <c r="Q7" s="193" t="s">
        <v>815</v>
      </c>
      <c r="R7" s="193" t="s">
        <v>816</v>
      </c>
      <c r="S7" s="193" t="s">
        <v>817</v>
      </c>
      <c r="T7" s="193" t="s">
        <v>818</v>
      </c>
      <c r="U7" s="193" t="s">
        <v>819</v>
      </c>
      <c r="V7" s="193" t="s">
        <v>820</v>
      </c>
      <c r="W7" s="193" t="s">
        <v>821</v>
      </c>
      <c r="X7" s="193" t="s">
        <v>822</v>
      </c>
      <c r="Y7" s="193" t="s">
        <v>823</v>
      </c>
      <c r="Z7" s="272"/>
      <c r="AA7" s="195" t="s">
        <v>824</v>
      </c>
      <c r="AB7" s="319" t="s">
        <v>825</v>
      </c>
      <c r="AC7" s="275" t="s">
        <v>826</v>
      </c>
      <c r="AD7" s="275" t="s">
        <v>827</v>
      </c>
      <c r="AE7" s="275" t="s">
        <v>828</v>
      </c>
      <c r="AF7" s="275" t="e">
        <f>"No data"&amp;"_"&amp;AF$5</f>
        <v>#REF!</v>
      </c>
      <c r="AG7" s="275" t="s">
        <v>829</v>
      </c>
      <c r="AH7" s="275" t="s">
        <v>830</v>
      </c>
      <c r="AI7" s="275" t="s">
        <v>831</v>
      </c>
      <c r="AJ7" s="275" t="s">
        <v>832</v>
      </c>
      <c r="AK7" s="275" t="s">
        <v>833</v>
      </c>
      <c r="AL7" s="275" t="s">
        <v>834</v>
      </c>
      <c r="AM7" s="275" t="s">
        <v>835</v>
      </c>
      <c r="AN7" s="275" t="e">
        <f>"No data_"&amp;AN5</f>
        <v>#REF!</v>
      </c>
      <c r="AO7" s="275" t="e">
        <f>"No data_"&amp;AO5</f>
        <v>#REF!</v>
      </c>
      <c r="AP7" s="275" t="e">
        <f t="shared" ref="AP7:AX7" si="3">"No data_"&amp;AP5</f>
        <v>#REF!</v>
      </c>
      <c r="AQ7" s="275" t="e">
        <f t="shared" si="3"/>
        <v>#REF!</v>
      </c>
      <c r="AR7" s="275" t="e">
        <f t="shared" si="3"/>
        <v>#REF!</v>
      </c>
      <c r="AS7" s="275" t="e">
        <f t="shared" si="3"/>
        <v>#REF!</v>
      </c>
      <c r="AT7" s="275" t="e">
        <f t="shared" si="3"/>
        <v>#REF!</v>
      </c>
      <c r="AU7" s="275" t="e">
        <f t="shared" si="3"/>
        <v>#REF!</v>
      </c>
      <c r="AV7" s="275" t="e">
        <f t="shared" si="3"/>
        <v>#REF!</v>
      </c>
      <c r="AW7" s="275" t="e">
        <f t="shared" si="3"/>
        <v>#REF!</v>
      </c>
      <c r="AX7" s="275" t="e">
        <f t="shared" si="3"/>
        <v>#REF!</v>
      </c>
      <c r="AY7" s="275" t="e">
        <f t="shared" ref="AY7:BF7" si="4">"No data_"&amp;AY5</f>
        <v>#REF!</v>
      </c>
      <c r="AZ7" s="275" t="e">
        <f t="shared" si="4"/>
        <v>#REF!</v>
      </c>
      <c r="BA7" s="275" t="e">
        <f t="shared" si="4"/>
        <v>#REF!</v>
      </c>
      <c r="BB7" s="275" t="e">
        <f t="shared" si="4"/>
        <v>#REF!</v>
      </c>
      <c r="BC7" s="275" t="e">
        <f t="shared" si="4"/>
        <v>#REF!</v>
      </c>
      <c r="BD7" s="275" t="e">
        <f t="shared" si="4"/>
        <v>#REF!</v>
      </c>
      <c r="BE7" s="275" t="e">
        <f t="shared" si="4"/>
        <v>#REF!</v>
      </c>
      <c r="BF7" s="275" t="e">
        <f t="shared" si="4"/>
        <v>#REF!</v>
      </c>
      <c r="BG7" s="275"/>
      <c r="BH7"/>
    </row>
    <row r="8" spans="1:60">
      <c r="A8" s="10" t="e">
        <f>INDEX(Language!$D$6:$K$1231,1113,#REF!)</f>
        <v>#REF!</v>
      </c>
      <c r="B8" s="10" t="s">
        <v>200</v>
      </c>
      <c r="C8" s="10">
        <v>3</v>
      </c>
      <c r="D8" s="194" t="s">
        <v>836</v>
      </c>
      <c r="E8" s="193" t="s">
        <v>566</v>
      </c>
      <c r="F8" s="193" t="s">
        <v>837</v>
      </c>
      <c r="G8" s="193" t="s">
        <v>838</v>
      </c>
      <c r="H8" s="193" t="s">
        <v>839</v>
      </c>
      <c r="I8" s="193" t="s">
        <v>840</v>
      </c>
      <c r="J8" s="212" t="s">
        <v>841</v>
      </c>
      <c r="K8" s="193" t="s">
        <v>842</v>
      </c>
      <c r="L8" s="193" t="s">
        <v>843</v>
      </c>
      <c r="M8" s="193" t="s">
        <v>844</v>
      </c>
      <c r="N8" s="193" t="s">
        <v>845</v>
      </c>
      <c r="O8" s="193" t="s">
        <v>838</v>
      </c>
      <c r="P8" s="193" t="s">
        <v>846</v>
      </c>
      <c r="Q8" s="193" t="s">
        <v>847</v>
      </c>
      <c r="R8" s="212" t="s">
        <v>848</v>
      </c>
      <c r="S8" s="193" t="s">
        <v>849</v>
      </c>
      <c r="T8" s="193" t="s">
        <v>850</v>
      </c>
      <c r="U8" s="193" t="s">
        <v>851</v>
      </c>
      <c r="V8" s="193" t="s">
        <v>852</v>
      </c>
      <c r="W8" s="193" t="s">
        <v>853</v>
      </c>
      <c r="X8" s="193" t="s">
        <v>854</v>
      </c>
      <c r="Y8" s="193" t="s">
        <v>855</v>
      </c>
      <c r="Z8" s="272"/>
      <c r="AA8" s="195" t="s">
        <v>856</v>
      </c>
      <c r="AB8" s="319" t="s">
        <v>857</v>
      </c>
      <c r="AC8" s="275" t="s">
        <v>858</v>
      </c>
      <c r="AD8" s="275" t="str">
        <f>"No data"&amp;"_"&amp;AD$5</f>
        <v>No data_Singapore</v>
      </c>
      <c r="AE8" s="275" t="s">
        <v>859</v>
      </c>
      <c r="AF8" s="275" t="s">
        <v>838</v>
      </c>
      <c r="AG8" s="275" t="s">
        <v>860</v>
      </c>
      <c r="AH8" s="275" t="s">
        <v>861</v>
      </c>
      <c r="AI8" s="275" t="s">
        <v>862</v>
      </c>
      <c r="AJ8" s="275" t="s">
        <v>551</v>
      </c>
      <c r="AK8" s="275" t="e">
        <f>"No data"&amp;"_"&amp;AK$5</f>
        <v>#REF!</v>
      </c>
      <c r="AL8" s="275" t="e">
        <f>"No data"&amp;"_"&amp;AL$5</f>
        <v>#REF!</v>
      </c>
      <c r="AM8" s="195" t="e">
        <f>"No data"&amp;"_"&amp;AM$5</f>
        <v>#REF!</v>
      </c>
      <c r="AN8" s="195" t="s">
        <v>838</v>
      </c>
      <c r="AO8" s="195" t="s">
        <v>838</v>
      </c>
      <c r="AP8" s="195" t="s">
        <v>838</v>
      </c>
      <c r="AQ8" s="195" t="s">
        <v>838</v>
      </c>
      <c r="AR8" s="195" t="s">
        <v>838</v>
      </c>
      <c r="AS8" s="195" t="s">
        <v>838</v>
      </c>
      <c r="AT8" s="195" t="s">
        <v>838</v>
      </c>
      <c r="AU8" s="195" t="s">
        <v>838</v>
      </c>
      <c r="AV8" s="195" t="s">
        <v>838</v>
      </c>
      <c r="AW8" s="195" t="s">
        <v>838</v>
      </c>
      <c r="AX8" s="195" t="s">
        <v>838</v>
      </c>
      <c r="AY8" s="195" t="s">
        <v>838</v>
      </c>
      <c r="AZ8" s="195" t="s">
        <v>838</v>
      </c>
      <c r="BA8" s="195" t="s">
        <v>838</v>
      </c>
      <c r="BB8" s="195" t="s">
        <v>838</v>
      </c>
      <c r="BC8" s="195" t="s">
        <v>838</v>
      </c>
      <c r="BD8" s="195" t="s">
        <v>838</v>
      </c>
      <c r="BE8" s="195" t="s">
        <v>838</v>
      </c>
      <c r="BF8" s="195" t="s">
        <v>838</v>
      </c>
      <c r="BG8" s="195"/>
      <c r="BH8"/>
    </row>
    <row r="9" spans="1:60">
      <c r="A9" s="10" t="e">
        <f>INDEX(Language!$D$6:$K$1231,1114,#REF!)</f>
        <v>#REF!</v>
      </c>
      <c r="B9" s="184" t="s">
        <v>863</v>
      </c>
      <c r="C9" s="10">
        <v>4</v>
      </c>
      <c r="D9" s="194" t="s">
        <v>864</v>
      </c>
      <c r="E9" s="193" t="s">
        <v>567</v>
      </c>
      <c r="F9" s="193" t="e">
        <f>"No data"&amp;"_"&amp;F$5</f>
        <v>#REF!</v>
      </c>
      <c r="G9" s="193" t="s">
        <v>865</v>
      </c>
      <c r="H9" s="193" t="s">
        <v>866</v>
      </c>
      <c r="I9" s="193" t="s">
        <v>867</v>
      </c>
      <c r="J9" s="193" t="s">
        <v>868</v>
      </c>
      <c r="K9" s="193" t="s">
        <v>869</v>
      </c>
      <c r="L9" s="193" t="s">
        <v>870</v>
      </c>
      <c r="M9" s="193" t="s">
        <v>871</v>
      </c>
      <c r="N9" s="193" t="s">
        <v>872</v>
      </c>
      <c r="O9" s="193" t="s">
        <v>865</v>
      </c>
      <c r="P9" s="193" t="s">
        <v>873</v>
      </c>
      <c r="Q9" s="193" t="s">
        <v>874</v>
      </c>
      <c r="R9" s="212" t="s">
        <v>875</v>
      </c>
      <c r="S9" s="193" t="s">
        <v>876</v>
      </c>
      <c r="T9" s="193" t="s">
        <v>877</v>
      </c>
      <c r="U9" s="193" t="s">
        <v>878</v>
      </c>
      <c r="V9" s="193" t="s">
        <v>879</v>
      </c>
      <c r="W9" s="193" t="s">
        <v>880</v>
      </c>
      <c r="X9" s="193" t="s">
        <v>881</v>
      </c>
      <c r="Y9" s="193" t="s">
        <v>882</v>
      </c>
      <c r="Z9" s="272"/>
      <c r="AA9" s="195" t="s">
        <v>883</v>
      </c>
      <c r="AB9" s="195" t="str">
        <f>"No data"&amp;"_"&amp;AB$5</f>
        <v>No data_New Zealand</v>
      </c>
      <c r="AC9" s="275" t="s">
        <v>884</v>
      </c>
      <c r="AD9" s="195" t="s">
        <v>838</v>
      </c>
      <c r="AE9" s="195" t="s">
        <v>885</v>
      </c>
      <c r="AF9" s="195" t="s">
        <v>865</v>
      </c>
      <c r="AG9" s="195" t="s">
        <v>886</v>
      </c>
      <c r="AH9" s="195" t="s">
        <v>887</v>
      </c>
      <c r="AI9" s="195" t="s">
        <v>888</v>
      </c>
      <c r="AJ9" s="195" t="e">
        <f>"No data"&amp;"_"&amp;AJ$5</f>
        <v>#REF!</v>
      </c>
      <c r="AK9" s="195" t="s">
        <v>838</v>
      </c>
      <c r="AL9" s="195" t="s">
        <v>838</v>
      </c>
      <c r="AM9" s="195" t="s">
        <v>838</v>
      </c>
      <c r="AN9" s="195" t="s">
        <v>865</v>
      </c>
      <c r="AO9" s="195" t="s">
        <v>865</v>
      </c>
      <c r="AP9" s="195" t="s">
        <v>865</v>
      </c>
      <c r="AQ9" s="195" t="s">
        <v>865</v>
      </c>
      <c r="AR9" s="195" t="s">
        <v>865</v>
      </c>
      <c r="AS9" s="195" t="s">
        <v>865</v>
      </c>
      <c r="AT9" s="195" t="s">
        <v>865</v>
      </c>
      <c r="AU9" s="195" t="s">
        <v>865</v>
      </c>
      <c r="AV9" s="195" t="s">
        <v>865</v>
      </c>
      <c r="AW9" s="195" t="s">
        <v>865</v>
      </c>
      <c r="AX9" s="195" t="s">
        <v>865</v>
      </c>
      <c r="AY9" s="195" t="s">
        <v>865</v>
      </c>
      <c r="AZ9" s="195" t="s">
        <v>865</v>
      </c>
      <c r="BA9" s="195" t="s">
        <v>865</v>
      </c>
      <c r="BB9" s="195" t="s">
        <v>865</v>
      </c>
      <c r="BC9" s="195" t="s">
        <v>865</v>
      </c>
      <c r="BD9" s="195" t="s">
        <v>865</v>
      </c>
      <c r="BE9" s="195" t="s">
        <v>865</v>
      </c>
      <c r="BF9" s="195" t="s">
        <v>865</v>
      </c>
      <c r="BG9" s="195"/>
      <c r="BH9"/>
    </row>
    <row r="10" spans="1:60">
      <c r="A10" s="10" t="e">
        <f>INDEX(Language!$D$6:$K$1231,1115,#REF!)</f>
        <v>#REF!</v>
      </c>
      <c r="B10" s="184" t="s">
        <v>204</v>
      </c>
      <c r="C10" s="10">
        <v>5</v>
      </c>
      <c r="D10" s="194" t="s">
        <v>889</v>
      </c>
      <c r="E10" s="193" t="s">
        <v>568</v>
      </c>
      <c r="F10" s="193" t="s">
        <v>838</v>
      </c>
      <c r="G10" s="193" t="s">
        <v>322</v>
      </c>
      <c r="H10" s="193" t="s">
        <v>890</v>
      </c>
      <c r="I10" s="193" t="s">
        <v>891</v>
      </c>
      <c r="J10" s="193" t="s">
        <v>892</v>
      </c>
      <c r="K10" s="193" t="s">
        <v>893</v>
      </c>
      <c r="L10" s="193" t="s">
        <v>894</v>
      </c>
      <c r="M10" s="193" t="s">
        <v>895</v>
      </c>
      <c r="N10" s="193" t="s">
        <v>896</v>
      </c>
      <c r="O10" s="193" t="s">
        <v>324</v>
      </c>
      <c r="P10" s="193" t="s">
        <v>897</v>
      </c>
      <c r="Q10" s="193" t="s">
        <v>898</v>
      </c>
      <c r="R10" s="212" t="s">
        <v>899</v>
      </c>
      <c r="S10" s="193" t="s">
        <v>900</v>
      </c>
      <c r="T10" s="193" t="s">
        <v>901</v>
      </c>
      <c r="U10" s="193" t="s">
        <v>902</v>
      </c>
      <c r="V10" s="193" t="s">
        <v>903</v>
      </c>
      <c r="W10" s="193" t="s">
        <v>904</v>
      </c>
      <c r="X10" s="193" t="s">
        <v>905</v>
      </c>
      <c r="Y10" s="193" t="s">
        <v>906</v>
      </c>
      <c r="Z10" s="272"/>
      <c r="AA10" s="195" t="s">
        <v>907</v>
      </c>
      <c r="AB10" s="195" t="s">
        <v>838</v>
      </c>
      <c r="AC10" s="275" t="s">
        <v>908</v>
      </c>
      <c r="AD10" s="195" t="s">
        <v>865</v>
      </c>
      <c r="AE10" s="195" t="s">
        <v>909</v>
      </c>
      <c r="AF10" s="195"/>
      <c r="AG10" s="195" t="s">
        <v>910</v>
      </c>
      <c r="AH10" s="195" t="s">
        <v>911</v>
      </c>
      <c r="AI10" s="195" t="s">
        <v>912</v>
      </c>
      <c r="AJ10" s="195" t="s">
        <v>838</v>
      </c>
      <c r="AK10" s="195" t="s">
        <v>865</v>
      </c>
      <c r="AL10" s="195" t="s">
        <v>865</v>
      </c>
      <c r="AM10" s="320" t="s">
        <v>865</v>
      </c>
      <c r="AN10" s="320"/>
      <c r="AO10" s="320"/>
      <c r="AP10" s="320"/>
      <c r="AQ10" s="320"/>
      <c r="AR10" s="320"/>
      <c r="AS10" s="320"/>
      <c r="AT10" s="320"/>
      <c r="AU10" s="320"/>
      <c r="AV10" s="320"/>
      <c r="AW10" s="320"/>
      <c r="AX10" s="320"/>
      <c r="AY10" s="320"/>
      <c r="AZ10" s="320"/>
      <c r="BA10" s="320"/>
      <c r="BB10" s="320"/>
      <c r="BC10" s="320"/>
      <c r="BD10" s="320"/>
      <c r="BE10" s="320"/>
      <c r="BF10" s="320"/>
      <c r="BG10" s="320"/>
      <c r="BH10"/>
    </row>
    <row r="11" spans="1:60">
      <c r="A11" s="10" t="e">
        <f>INDEX(Language!$D$6:$K$1231,1116,#REF!)</f>
        <v>#REF!</v>
      </c>
      <c r="B11" s="10" t="s">
        <v>206</v>
      </c>
      <c r="C11" s="10">
        <v>6</v>
      </c>
      <c r="D11" s="194" t="s">
        <v>913</v>
      </c>
      <c r="E11" s="193" t="s">
        <v>569</v>
      </c>
      <c r="F11" s="193" t="s">
        <v>865</v>
      </c>
      <c r="G11" s="193"/>
      <c r="H11" s="193" t="s">
        <v>914</v>
      </c>
      <c r="I11" s="193" t="s">
        <v>915</v>
      </c>
      <c r="J11" s="193" t="s">
        <v>916</v>
      </c>
      <c r="K11" s="193" t="s">
        <v>917</v>
      </c>
      <c r="L11" s="193" t="s">
        <v>918</v>
      </c>
      <c r="M11" s="193" t="s">
        <v>919</v>
      </c>
      <c r="N11" s="193" t="s">
        <v>920</v>
      </c>
      <c r="O11" s="193"/>
      <c r="P11" s="193" t="s">
        <v>921</v>
      </c>
      <c r="Q11" s="193" t="s">
        <v>922</v>
      </c>
      <c r="R11" s="212" t="s">
        <v>923</v>
      </c>
      <c r="S11" s="193" t="s">
        <v>924</v>
      </c>
      <c r="T11" s="193" t="s">
        <v>925</v>
      </c>
      <c r="U11" s="193" t="s">
        <v>926</v>
      </c>
      <c r="V11" s="193" t="s">
        <v>927</v>
      </c>
      <c r="W11" s="193" t="s">
        <v>928</v>
      </c>
      <c r="X11" s="193" t="s">
        <v>929</v>
      </c>
      <c r="Y11" s="193" t="s">
        <v>930</v>
      </c>
      <c r="Z11" s="272"/>
      <c r="AA11" s="195" t="s">
        <v>931</v>
      </c>
      <c r="AB11" s="195" t="s">
        <v>865</v>
      </c>
      <c r="AC11" s="275" t="s">
        <v>932</v>
      </c>
      <c r="AD11" s="320" t="s">
        <v>330</v>
      </c>
      <c r="AE11" s="320" t="s">
        <v>933</v>
      </c>
      <c r="AF11" s="320"/>
      <c r="AG11" s="320" t="s">
        <v>934</v>
      </c>
      <c r="AH11" s="320" t="s">
        <v>935</v>
      </c>
      <c r="AI11" s="320" t="s">
        <v>936</v>
      </c>
      <c r="AJ11" s="320" t="s">
        <v>865</v>
      </c>
      <c r="AK11" s="320" t="s">
        <v>540</v>
      </c>
      <c r="AL11" s="320" t="s">
        <v>549</v>
      </c>
      <c r="AM11" s="275" t="s">
        <v>550</v>
      </c>
      <c r="AN11" s="275"/>
      <c r="AO11" s="275"/>
      <c r="AP11" s="275"/>
      <c r="AQ11" s="275"/>
      <c r="AR11" s="275"/>
      <c r="AS11" s="275"/>
      <c r="AT11" s="275"/>
      <c r="AU11" s="275"/>
      <c r="AV11" s="275"/>
      <c r="AW11" s="275"/>
      <c r="AX11" s="275"/>
      <c r="AY11" s="275"/>
      <c r="AZ11" s="275"/>
      <c r="BA11" s="275"/>
      <c r="BB11" s="275"/>
      <c r="BC11" s="275"/>
      <c r="BD11" s="275"/>
      <c r="BE11" s="275"/>
      <c r="BF11" s="275"/>
      <c r="BG11" s="275"/>
      <c r="BH11"/>
    </row>
    <row r="12" spans="1:60">
      <c r="A12" s="10" t="e">
        <f>INDEX(Language!$D$6:$K$1231,1117,#REF!)</f>
        <v>#REF!</v>
      </c>
      <c r="B12" s="184" t="s">
        <v>208</v>
      </c>
      <c r="C12" s="10">
        <v>7</v>
      </c>
      <c r="D12" s="194" t="s">
        <v>937</v>
      </c>
      <c r="E12" s="193" t="s">
        <v>570</v>
      </c>
      <c r="F12" s="193" t="s">
        <v>534</v>
      </c>
      <c r="G12" s="193"/>
      <c r="H12" s="193" t="s">
        <v>938</v>
      </c>
      <c r="I12" s="193" t="s">
        <v>939</v>
      </c>
      <c r="J12" s="193" t="s">
        <v>940</v>
      </c>
      <c r="K12" s="193" t="s">
        <v>941</v>
      </c>
      <c r="L12" s="193" t="s">
        <v>942</v>
      </c>
      <c r="M12" s="193" t="s">
        <v>943</v>
      </c>
      <c r="N12" s="193" t="s">
        <v>944</v>
      </c>
      <c r="O12" s="193"/>
      <c r="P12" s="193" t="s">
        <v>945</v>
      </c>
      <c r="Q12" s="193" t="s">
        <v>946</v>
      </c>
      <c r="R12" s="212" t="s">
        <v>947</v>
      </c>
      <c r="S12" s="193" t="s">
        <v>948</v>
      </c>
      <c r="T12" s="193" t="s">
        <v>949</v>
      </c>
      <c r="U12" s="193" t="s">
        <v>950</v>
      </c>
      <c r="V12" s="193" t="s">
        <v>951</v>
      </c>
      <c r="W12" s="193" t="s">
        <v>952</v>
      </c>
      <c r="X12" s="193" t="s">
        <v>953</v>
      </c>
      <c r="Y12" s="193" t="s">
        <v>954</v>
      </c>
      <c r="Z12" s="272"/>
      <c r="AA12" s="195" t="s">
        <v>955</v>
      </c>
      <c r="AB12" s="195" t="str">
        <f>AB5</f>
        <v>New Zealand</v>
      </c>
      <c r="AC12" s="275" t="s">
        <v>956</v>
      </c>
      <c r="AD12" s="275"/>
      <c r="AE12" s="275" t="s">
        <v>957</v>
      </c>
      <c r="AF12" s="275"/>
      <c r="AG12" s="275" t="s">
        <v>958</v>
      </c>
      <c r="AH12" s="275" t="s">
        <v>959</v>
      </c>
      <c r="AI12" s="275" t="s">
        <v>960</v>
      </c>
      <c r="AJ12" s="275"/>
      <c r="AK12" s="275"/>
      <c r="AL12" s="275"/>
      <c r="AM12" s="275"/>
      <c r="AN12" s="275"/>
      <c r="AO12" s="275"/>
      <c r="AP12" s="275"/>
      <c r="AQ12" s="275"/>
      <c r="AR12" s="275"/>
      <c r="AS12" s="275"/>
      <c r="AT12" s="275"/>
      <c r="AU12" s="275"/>
      <c r="AV12" s="275"/>
      <c r="AW12" s="275"/>
      <c r="AX12" s="275"/>
      <c r="AY12" s="275"/>
      <c r="AZ12" s="275"/>
      <c r="BA12" s="275"/>
      <c r="BB12" s="275"/>
      <c r="BC12" s="275"/>
      <c r="BD12" s="275"/>
      <c r="BE12" s="275"/>
      <c r="BF12" s="275"/>
      <c r="BG12" s="275"/>
      <c r="BH12"/>
    </row>
    <row r="13" spans="1:60">
      <c r="A13" s="10" t="e">
        <f>INDEX(Language!$D$6:$K$1231,1118,#REF!)</f>
        <v>#REF!</v>
      </c>
      <c r="B13" s="184" t="s">
        <v>210</v>
      </c>
      <c r="C13" s="10">
        <v>8</v>
      </c>
      <c r="D13" s="194" t="s">
        <v>961</v>
      </c>
      <c r="E13" s="193" t="s">
        <v>571</v>
      </c>
      <c r="F13" s="193"/>
      <c r="G13" s="193"/>
      <c r="H13" s="193" t="s">
        <v>838</v>
      </c>
      <c r="I13" s="193" t="s">
        <v>962</v>
      </c>
      <c r="J13" s="193" t="s">
        <v>963</v>
      </c>
      <c r="K13" s="193" t="s">
        <v>964</v>
      </c>
      <c r="L13" s="193" t="s">
        <v>965</v>
      </c>
      <c r="M13" s="193" t="s">
        <v>966</v>
      </c>
      <c r="N13" s="193" t="s">
        <v>967</v>
      </c>
      <c r="O13" s="193"/>
      <c r="P13" s="193" t="s">
        <v>968</v>
      </c>
      <c r="Q13" s="193" t="s">
        <v>969</v>
      </c>
      <c r="R13" s="212" t="s">
        <v>970</v>
      </c>
      <c r="S13" s="193" t="s">
        <v>971</v>
      </c>
      <c r="T13" s="193" t="s">
        <v>972</v>
      </c>
      <c r="U13" s="193" t="s">
        <v>973</v>
      </c>
      <c r="V13" s="193" t="s">
        <v>974</v>
      </c>
      <c r="W13" s="193" t="s">
        <v>975</v>
      </c>
      <c r="X13" s="193" t="s">
        <v>976</v>
      </c>
      <c r="Y13" s="193" t="s">
        <v>977</v>
      </c>
      <c r="Z13" s="272"/>
      <c r="AA13" s="195" t="s">
        <v>978</v>
      </c>
      <c r="AB13" s="195"/>
      <c r="AC13" s="275" t="s">
        <v>979</v>
      </c>
      <c r="AD13" s="275"/>
      <c r="AE13" s="275" t="s">
        <v>980</v>
      </c>
      <c r="AF13" s="275"/>
      <c r="AG13" s="275" t="s">
        <v>981</v>
      </c>
      <c r="AH13" s="275" t="s">
        <v>982</v>
      </c>
      <c r="AI13" s="275" t="s">
        <v>983</v>
      </c>
      <c r="AJ13" s="275"/>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row>
    <row r="14" spans="1:60">
      <c r="A14" s="10" t="e">
        <f>INDEX(Language!$D$6:$K$1231,1119,#REF!)</f>
        <v>#REF!</v>
      </c>
      <c r="B14" s="184" t="s">
        <v>984</v>
      </c>
      <c r="C14" s="10">
        <v>9</v>
      </c>
      <c r="D14" s="193" t="e">
        <f>"No data"&amp;"_"&amp;D$5</f>
        <v>#REF!</v>
      </c>
      <c r="E14" s="193" t="s">
        <v>572</v>
      </c>
      <c r="F14" s="193"/>
      <c r="G14" s="193"/>
      <c r="H14" s="193" t="s">
        <v>865</v>
      </c>
      <c r="I14" s="193" t="s">
        <v>985</v>
      </c>
      <c r="J14" s="193" t="s">
        <v>986</v>
      </c>
      <c r="K14" s="193" t="s">
        <v>987</v>
      </c>
      <c r="L14" s="193" t="s">
        <v>988</v>
      </c>
      <c r="M14" s="193" t="s">
        <v>989</v>
      </c>
      <c r="N14" s="193" t="s">
        <v>990</v>
      </c>
      <c r="O14" s="193"/>
      <c r="P14" s="193" t="s">
        <v>991</v>
      </c>
      <c r="Q14" s="193" t="s">
        <v>992</v>
      </c>
      <c r="R14" s="212" t="s">
        <v>993</v>
      </c>
      <c r="S14" s="193" t="s">
        <v>994</v>
      </c>
      <c r="T14" s="193" t="s">
        <v>995</v>
      </c>
      <c r="U14" s="193" t="s">
        <v>996</v>
      </c>
      <c r="V14" s="193" t="s">
        <v>997</v>
      </c>
      <c r="W14" s="193" t="e">
        <f>"No data"&amp;"_"&amp;W$5</f>
        <v>#REF!</v>
      </c>
      <c r="X14" s="193" t="s">
        <v>998</v>
      </c>
      <c r="Y14" s="193" t="s">
        <v>999</v>
      </c>
      <c r="Z14" s="272"/>
      <c r="AA14" s="195" t="s">
        <v>1000</v>
      </c>
      <c r="AB14" s="195"/>
      <c r="AC14" s="275" t="s">
        <v>1001</v>
      </c>
      <c r="AD14" s="275"/>
      <c r="AE14" s="275" t="e">
        <f>"No data"&amp;"_"&amp;AE$5</f>
        <v>#REF!</v>
      </c>
      <c r="AF14" s="275"/>
      <c r="AG14" s="275" t="e">
        <f>"No data"&amp;"_"&amp;AG$5</f>
        <v>#REF!</v>
      </c>
      <c r="AH14" s="275" t="s">
        <v>1002</v>
      </c>
      <c r="AI14" s="275" t="s">
        <v>1003</v>
      </c>
      <c r="AJ14" s="275"/>
      <c r="AK14" s="275"/>
      <c r="AL14" s="275"/>
      <c r="AM14" s="275"/>
      <c r="AN14" s="275"/>
      <c r="AO14" s="275"/>
      <c r="AP14" s="275"/>
      <c r="AQ14" s="275"/>
      <c r="AR14" s="275"/>
      <c r="AS14" s="275"/>
      <c r="AT14" s="275"/>
      <c r="AU14" s="275"/>
      <c r="AV14" s="275"/>
      <c r="AW14" s="275"/>
      <c r="AX14" s="275"/>
      <c r="AY14" s="275"/>
      <c r="AZ14" s="275"/>
      <c r="BA14" s="275"/>
      <c r="BB14" s="275"/>
      <c r="BC14" s="275"/>
      <c r="BD14" s="275"/>
      <c r="BE14" s="275"/>
      <c r="BF14" s="275"/>
      <c r="BG14" s="275"/>
      <c r="BH14"/>
    </row>
    <row r="15" spans="1:60">
      <c r="A15" s="10" t="e">
        <f>INDEX(Language!$D$6:$K$1231,1120,#REF!)</f>
        <v>#REF!</v>
      </c>
      <c r="B15" s="184" t="s">
        <v>1004</v>
      </c>
      <c r="C15" s="10">
        <v>10</v>
      </c>
      <c r="D15" s="193" t="s">
        <v>838</v>
      </c>
      <c r="E15" s="193" t="e">
        <f>"No data"&amp;"_"&amp;E$5</f>
        <v>#REF!</v>
      </c>
      <c r="F15" s="193"/>
      <c r="G15" s="193"/>
      <c r="H15" s="193" t="s">
        <v>539</v>
      </c>
      <c r="I15" s="193" t="s">
        <v>1005</v>
      </c>
      <c r="J15" s="193" t="s">
        <v>1006</v>
      </c>
      <c r="K15" s="193" t="s">
        <v>1007</v>
      </c>
      <c r="L15" s="193" t="s">
        <v>1008</v>
      </c>
      <c r="M15" s="193" t="s">
        <v>1009</v>
      </c>
      <c r="N15" s="193" t="s">
        <v>1010</v>
      </c>
      <c r="O15" s="193"/>
      <c r="P15" s="193" t="s">
        <v>1011</v>
      </c>
      <c r="Q15" s="193" t="s">
        <v>1012</v>
      </c>
      <c r="R15" s="212" t="s">
        <v>1013</v>
      </c>
      <c r="S15" s="193" t="e">
        <f>"No data"&amp;"_"&amp;S$5</f>
        <v>#REF!</v>
      </c>
      <c r="T15" s="193" t="s">
        <v>1014</v>
      </c>
      <c r="U15" s="193" t="s">
        <v>1015</v>
      </c>
      <c r="V15" s="193" t="s">
        <v>1016</v>
      </c>
      <c r="W15" s="193" t="s">
        <v>838</v>
      </c>
      <c r="X15" s="193" t="s">
        <v>1017</v>
      </c>
      <c r="Y15" s="193" t="s">
        <v>1018</v>
      </c>
      <c r="Z15" s="272"/>
      <c r="AA15" s="195" t="s">
        <v>1019</v>
      </c>
      <c r="AB15" s="195"/>
      <c r="AC15" s="275" t="s">
        <v>1020</v>
      </c>
      <c r="AD15" s="275"/>
      <c r="AE15" s="275" t="s">
        <v>838</v>
      </c>
      <c r="AF15" s="275"/>
      <c r="AG15" s="275" t="s">
        <v>838</v>
      </c>
      <c r="AH15" s="275" t="s">
        <v>1021</v>
      </c>
      <c r="AI15" s="275" t="s">
        <v>1022</v>
      </c>
      <c r="AJ15" s="275"/>
      <c r="AK15" s="275"/>
      <c r="AL15" s="275"/>
      <c r="AM15" s="275"/>
      <c r="AN15" s="275"/>
      <c r="AO15" s="275"/>
      <c r="AP15" s="275"/>
      <c r="AQ15" s="275"/>
      <c r="AR15" s="275"/>
      <c r="AS15" s="275"/>
      <c r="AT15" s="275"/>
      <c r="AU15" s="275"/>
      <c r="AV15" s="275"/>
      <c r="AW15" s="275"/>
      <c r="AX15" s="275"/>
      <c r="AY15" s="275"/>
      <c r="AZ15" s="275"/>
      <c r="BA15" s="275"/>
      <c r="BB15" s="275"/>
      <c r="BC15" s="275"/>
      <c r="BD15" s="275"/>
      <c r="BE15" s="275"/>
      <c r="BF15" s="275"/>
      <c r="BG15" s="275"/>
      <c r="BH15"/>
    </row>
    <row r="16" spans="1:60">
      <c r="A16" s="10" t="e">
        <f>INDEX(Language!$D$6:$K$1231,1121,#REF!)</f>
        <v>#REF!</v>
      </c>
      <c r="B16" s="184" t="s">
        <v>1023</v>
      </c>
      <c r="C16" s="10">
        <v>11</v>
      </c>
      <c r="D16" s="193" t="s">
        <v>865</v>
      </c>
      <c r="E16" s="193" t="s">
        <v>838</v>
      </c>
      <c r="F16" s="193"/>
      <c r="G16" s="193"/>
      <c r="H16" s="193"/>
      <c r="I16" s="193" t="s">
        <v>1024</v>
      </c>
      <c r="J16" s="193" t="s">
        <v>1025</v>
      </c>
      <c r="K16" s="193" t="e">
        <f>"No data"&amp;"_"&amp;K$5</f>
        <v>#REF!</v>
      </c>
      <c r="L16" s="193" t="s">
        <v>1026</v>
      </c>
      <c r="M16" s="193" t="s">
        <v>1027</v>
      </c>
      <c r="N16" s="193" t="s">
        <v>1028</v>
      </c>
      <c r="O16" s="193"/>
      <c r="P16" s="193" t="s">
        <v>1029</v>
      </c>
      <c r="Q16" s="193" t="s">
        <v>1030</v>
      </c>
      <c r="R16" s="212" t="s">
        <v>1031</v>
      </c>
      <c r="S16" s="193" t="s">
        <v>838</v>
      </c>
      <c r="T16" s="193" t="s">
        <v>1032</v>
      </c>
      <c r="U16" s="193" t="s">
        <v>1033</v>
      </c>
      <c r="V16" s="193" t="e">
        <f>"No data"&amp;"_"&amp;V$5</f>
        <v>#REF!</v>
      </c>
      <c r="W16" s="193" t="s">
        <v>865</v>
      </c>
      <c r="X16" s="193" t="s">
        <v>1034</v>
      </c>
      <c r="Y16" s="193" t="s">
        <v>1035</v>
      </c>
      <c r="Z16" s="272"/>
      <c r="AA16" s="195" t="s">
        <v>1036</v>
      </c>
      <c r="AB16" s="195"/>
      <c r="AC16" s="275" t="s">
        <v>1037</v>
      </c>
      <c r="AD16" s="275"/>
      <c r="AE16" s="275" t="s">
        <v>865</v>
      </c>
      <c r="AF16" s="275"/>
      <c r="AG16" s="275" t="s">
        <v>865</v>
      </c>
      <c r="AH16" s="275" t="s">
        <v>1038</v>
      </c>
      <c r="AI16" s="275" t="s">
        <v>1039</v>
      </c>
      <c r="AJ16" s="275"/>
      <c r="AK16" s="275"/>
      <c r="AL16" s="275"/>
      <c r="AM16" s="275"/>
      <c r="AN16" s="275"/>
      <c r="AO16" s="275"/>
      <c r="AP16" s="275"/>
      <c r="AQ16" s="275"/>
      <c r="AR16" s="275"/>
      <c r="AS16" s="275"/>
      <c r="AT16" s="275"/>
      <c r="AU16" s="275"/>
      <c r="AV16" s="275"/>
      <c r="AW16" s="275"/>
      <c r="AX16" s="275"/>
      <c r="AY16" s="275"/>
      <c r="AZ16" s="275"/>
      <c r="BA16" s="275"/>
      <c r="BB16" s="275"/>
      <c r="BC16" s="275"/>
      <c r="BD16" s="275"/>
      <c r="BE16" s="275"/>
      <c r="BF16" s="275"/>
      <c r="BG16" s="275"/>
      <c r="BH16"/>
    </row>
    <row r="17" spans="1:60">
      <c r="A17" s="10" t="e">
        <f>INDEX(Language!$D$6:$K$1231,1122,#REF!)</f>
        <v>#REF!</v>
      </c>
      <c r="B17" s="10" t="s">
        <v>216</v>
      </c>
      <c r="C17" s="10">
        <v>12</v>
      </c>
      <c r="D17" s="194" t="s">
        <v>318</v>
      </c>
      <c r="E17" s="193" t="s">
        <v>865</v>
      </c>
      <c r="F17" s="193"/>
      <c r="G17" s="193"/>
      <c r="H17" s="193"/>
      <c r="I17" s="193" t="s">
        <v>1040</v>
      </c>
      <c r="J17" s="193" t="s">
        <v>1041</v>
      </c>
      <c r="K17" s="193" t="s">
        <v>838</v>
      </c>
      <c r="L17" s="193" t="s">
        <v>1042</v>
      </c>
      <c r="M17" s="193" t="s">
        <v>1043</v>
      </c>
      <c r="N17" s="193" t="s">
        <v>1044</v>
      </c>
      <c r="O17" s="193"/>
      <c r="P17" s="193" t="s">
        <v>1045</v>
      </c>
      <c r="Q17" s="193" t="e">
        <f>"No data"&amp;"_"&amp;Q$5</f>
        <v>#REF!</v>
      </c>
      <c r="R17" s="212" t="s">
        <v>1046</v>
      </c>
      <c r="S17" s="193" t="s">
        <v>865</v>
      </c>
      <c r="T17" s="193" t="s">
        <v>1047</v>
      </c>
      <c r="U17" s="193" t="s">
        <v>1048</v>
      </c>
      <c r="V17" s="193" t="s">
        <v>838</v>
      </c>
      <c r="W17" s="193" t="s">
        <v>316</v>
      </c>
      <c r="X17" s="193" t="s">
        <v>1049</v>
      </c>
      <c r="Y17" s="193" t="s">
        <v>1050</v>
      </c>
      <c r="Z17" s="272"/>
      <c r="AA17" s="195" t="s">
        <v>1051</v>
      </c>
      <c r="AB17" s="195"/>
      <c r="AC17" s="275" t="s">
        <v>1052</v>
      </c>
      <c r="AD17" s="275"/>
      <c r="AE17" s="275" t="s">
        <v>556</v>
      </c>
      <c r="AF17" s="275"/>
      <c r="AG17" s="275" t="s">
        <v>555</v>
      </c>
      <c r="AH17" s="275" t="s">
        <v>1053</v>
      </c>
      <c r="AI17" s="275" t="s">
        <v>1054</v>
      </c>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row>
    <row r="18" spans="1:60">
      <c r="A18" s="10" t="e">
        <f>INDEX(Language!$D$6:$K$1231,1123,#REF!)</f>
        <v>#REF!</v>
      </c>
      <c r="B18" s="184" t="s">
        <v>218</v>
      </c>
      <c r="C18" s="10">
        <v>13</v>
      </c>
      <c r="D18" s="194"/>
      <c r="E18" s="193" t="s">
        <v>49</v>
      </c>
      <c r="F18" s="193"/>
      <c r="G18" s="193"/>
      <c r="H18" s="193"/>
      <c r="I18" s="193" t="s">
        <v>1055</v>
      </c>
      <c r="J18" s="193" t="s">
        <v>1056</v>
      </c>
      <c r="K18" s="193" t="s">
        <v>865</v>
      </c>
      <c r="L18" s="193" t="s">
        <v>1057</v>
      </c>
      <c r="M18" s="193" t="s">
        <v>1058</v>
      </c>
      <c r="N18" s="193" t="s">
        <v>1059</v>
      </c>
      <c r="O18" s="193"/>
      <c r="P18" s="193" t="e">
        <f>"No data"&amp;"_"&amp;P$5</f>
        <v>#REF!</v>
      </c>
      <c r="Q18" s="193" t="s">
        <v>838</v>
      </c>
      <c r="R18" s="212" t="s">
        <v>1060</v>
      </c>
      <c r="S18" s="193" t="s">
        <v>554</v>
      </c>
      <c r="T18" s="193" t="s">
        <v>1061</v>
      </c>
      <c r="U18" s="193" t="s">
        <v>1062</v>
      </c>
      <c r="V18" s="193" t="s">
        <v>865</v>
      </c>
      <c r="W18" s="193"/>
      <c r="X18" s="193" t="e">
        <f>"No data"&amp;"_"&amp;X$5</f>
        <v>#REF!</v>
      </c>
      <c r="Y18" s="193" t="s">
        <v>1063</v>
      </c>
      <c r="Z18" s="272"/>
      <c r="AA18" s="195" t="s">
        <v>1064</v>
      </c>
      <c r="AB18" s="195"/>
      <c r="AC18" s="275" t="s">
        <v>1065</v>
      </c>
      <c r="AD18" s="275"/>
      <c r="AE18" s="275"/>
      <c r="AF18" s="275"/>
      <c r="AG18" s="275"/>
      <c r="AH18" s="275" t="s">
        <v>1066</v>
      </c>
      <c r="AI18" s="275" t="s">
        <v>1067</v>
      </c>
      <c r="AJ18" s="275"/>
      <c r="AK18" s="275"/>
      <c r="AL18" s="275"/>
      <c r="AM18" s="275"/>
      <c r="AN18" s="275"/>
      <c r="AO18" s="275"/>
      <c r="AP18" s="275"/>
      <c r="AQ18" s="275"/>
      <c r="AR18" s="275"/>
      <c r="AS18" s="275"/>
      <c r="AT18" s="275"/>
      <c r="AU18" s="275"/>
      <c r="AV18" s="275"/>
      <c r="AW18" s="275"/>
      <c r="AX18" s="275"/>
      <c r="AY18" s="275"/>
      <c r="AZ18" s="275"/>
      <c r="BA18" s="275"/>
      <c r="BB18" s="275"/>
      <c r="BC18" s="275"/>
      <c r="BD18" s="275"/>
      <c r="BE18" s="275"/>
      <c r="BF18" s="275"/>
      <c r="BG18" s="275"/>
      <c r="BH18"/>
    </row>
    <row r="19" spans="1:60">
      <c r="A19" s="10" t="e">
        <f>INDEX(Language!$D$6:$K$1231,1124,#REF!)</f>
        <v>#REF!</v>
      </c>
      <c r="B19" s="184" t="s">
        <v>220</v>
      </c>
      <c r="C19" s="10">
        <v>14</v>
      </c>
      <c r="D19" s="194"/>
      <c r="E19" s="193"/>
      <c r="F19" s="193"/>
      <c r="G19" s="193"/>
      <c r="H19" s="193"/>
      <c r="I19" s="193" t="s">
        <v>1068</v>
      </c>
      <c r="J19" s="193" t="s">
        <v>1069</v>
      </c>
      <c r="K19" s="193" t="s">
        <v>544</v>
      </c>
      <c r="L19" s="193" t="s">
        <v>1070</v>
      </c>
      <c r="M19" s="193" t="s">
        <v>1071</v>
      </c>
      <c r="N19" s="193" t="s">
        <v>1072</v>
      </c>
      <c r="O19" s="193"/>
      <c r="P19" s="193"/>
      <c r="Q19" s="193" t="s">
        <v>865</v>
      </c>
      <c r="R19" s="212" t="s">
        <v>1073</v>
      </c>
      <c r="S19" s="193"/>
      <c r="T19" s="193" t="s">
        <v>1074</v>
      </c>
      <c r="U19" s="193" t="s">
        <v>1075</v>
      </c>
      <c r="V19" s="213" t="s">
        <v>559</v>
      </c>
      <c r="W19" s="193"/>
      <c r="X19" s="193" t="s">
        <v>838</v>
      </c>
      <c r="Y19" s="193" t="s">
        <v>1076</v>
      </c>
      <c r="Z19" s="272"/>
      <c r="AA19" s="195" t="s">
        <v>1077</v>
      </c>
      <c r="AB19" s="195"/>
      <c r="AC19" s="275" t="s">
        <v>1078</v>
      </c>
      <c r="AD19" s="275"/>
      <c r="AE19" s="275"/>
      <c r="AF19" s="275"/>
      <c r="AG19" s="275"/>
      <c r="AH19" s="275" t="s">
        <v>1079</v>
      </c>
      <c r="AI19" s="275" t="s">
        <v>1080</v>
      </c>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275"/>
      <c r="BF19" s="275"/>
      <c r="BG19" s="275"/>
      <c r="BH19"/>
    </row>
    <row r="20" spans="1:60">
      <c r="A20" s="10" t="e">
        <f>INDEX(Language!$D$6:$K$1231,1125,#REF!)</f>
        <v>#REF!</v>
      </c>
      <c r="B20" s="184" t="s">
        <v>1081</v>
      </c>
      <c r="C20" s="10">
        <v>15</v>
      </c>
      <c r="D20" s="194"/>
      <c r="E20" s="193"/>
      <c r="F20" s="193"/>
      <c r="G20" s="193"/>
      <c r="H20" s="193"/>
      <c r="I20" s="193" t="s">
        <v>1082</v>
      </c>
      <c r="J20" s="193" t="s">
        <v>1083</v>
      </c>
      <c r="K20" s="193"/>
      <c r="L20" s="193" t="s">
        <v>1084</v>
      </c>
      <c r="M20" s="193" t="s">
        <v>1085</v>
      </c>
      <c r="N20" s="193" t="s">
        <v>1086</v>
      </c>
      <c r="O20" s="193"/>
      <c r="P20" s="193"/>
      <c r="Q20" s="193" t="s">
        <v>562</v>
      </c>
      <c r="R20" s="193" t="s">
        <v>1087</v>
      </c>
      <c r="S20" s="193"/>
      <c r="T20" s="193" t="s">
        <v>1088</v>
      </c>
      <c r="U20" s="193" t="s">
        <v>1089</v>
      </c>
      <c r="V20" s="213"/>
      <c r="W20" s="193"/>
      <c r="X20" s="193" t="s">
        <v>865</v>
      </c>
      <c r="Y20" s="193" t="s">
        <v>1090</v>
      </c>
      <c r="Z20" s="272"/>
      <c r="AA20" s="195" t="e">
        <f>"No data"&amp;"_"&amp;AA$5</f>
        <v>#REF!</v>
      </c>
      <c r="AB20" s="195"/>
      <c r="AC20" s="275" t="s">
        <v>1091</v>
      </c>
      <c r="AD20" s="275"/>
      <c r="AE20" s="275"/>
      <c r="AF20" s="275"/>
      <c r="AG20" s="275"/>
      <c r="AH20" s="275" t="s">
        <v>1092</v>
      </c>
      <c r="AI20" s="275" t="s">
        <v>1093</v>
      </c>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row>
    <row r="21" spans="1:60">
      <c r="A21" s="10" t="e">
        <f>INDEX(Language!$D$6:$K$1231,1126,#REF!)</f>
        <v>#REF!</v>
      </c>
      <c r="B21" s="184" t="s">
        <v>222</v>
      </c>
      <c r="C21" s="10">
        <v>16</v>
      </c>
      <c r="D21" s="194"/>
      <c r="E21" s="193"/>
      <c r="F21" s="193"/>
      <c r="G21" s="193"/>
      <c r="H21" s="193"/>
      <c r="I21" s="193" t="s">
        <v>838</v>
      </c>
      <c r="J21" s="193" t="s">
        <v>1094</v>
      </c>
      <c r="K21" s="193"/>
      <c r="L21" s="193" t="s">
        <v>1095</v>
      </c>
      <c r="M21" s="193" t="s">
        <v>1096</v>
      </c>
      <c r="N21" s="193" t="s">
        <v>1097</v>
      </c>
      <c r="O21" s="193"/>
      <c r="P21" s="193"/>
      <c r="Q21" s="193"/>
      <c r="R21" s="212" t="s">
        <v>1098</v>
      </c>
      <c r="S21" s="193"/>
      <c r="T21" s="193" t="s">
        <v>1099</v>
      </c>
      <c r="U21" s="193" t="s">
        <v>1100</v>
      </c>
      <c r="V21" s="213"/>
      <c r="W21" s="193"/>
      <c r="X21" s="193" t="s">
        <v>1101</v>
      </c>
      <c r="Y21" s="193" t="e">
        <f>"No data"&amp;"_"&amp;Y$5</f>
        <v>#REF!</v>
      </c>
      <c r="Z21" s="272"/>
      <c r="AA21" s="195" t="s">
        <v>838</v>
      </c>
      <c r="AB21" s="195"/>
      <c r="AC21" s="275" t="s">
        <v>1102</v>
      </c>
      <c r="AD21" s="275"/>
      <c r="AE21" s="275"/>
      <c r="AF21" s="275"/>
      <c r="AG21" s="275"/>
      <c r="AH21" s="275" t="s">
        <v>1103</v>
      </c>
      <c r="AI21" s="275" t="s">
        <v>1104</v>
      </c>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row>
    <row r="22" spans="1:60">
      <c r="A22" s="10" t="e">
        <f>INDEX(Language!$D$6:$K$1231,1127,#REF!)</f>
        <v>#REF!</v>
      </c>
      <c r="B22" s="184" t="s">
        <v>1105</v>
      </c>
      <c r="C22" s="10">
        <v>17</v>
      </c>
      <c r="D22" s="194"/>
      <c r="E22" s="193"/>
      <c r="F22" s="193"/>
      <c r="G22" s="193"/>
      <c r="H22" s="193"/>
      <c r="I22" s="193" t="s">
        <v>865</v>
      </c>
      <c r="J22" s="193" t="e">
        <f>"No data"&amp;"_"&amp;J$5</f>
        <v>#REF!</v>
      </c>
      <c r="K22" s="193"/>
      <c r="L22" s="193" t="s">
        <v>1106</v>
      </c>
      <c r="M22" s="193" t="s">
        <v>1107</v>
      </c>
      <c r="N22" s="193" t="s">
        <v>1108</v>
      </c>
      <c r="O22" s="193"/>
      <c r="P22" s="193"/>
      <c r="Q22" s="193"/>
      <c r="R22" s="193" t="e">
        <f>"No data"&amp;"_"&amp;R$5</f>
        <v>#REF!</v>
      </c>
      <c r="S22" s="193"/>
      <c r="T22" s="193" t="s">
        <v>1109</v>
      </c>
      <c r="U22" s="193" t="s">
        <v>1110</v>
      </c>
      <c r="V22" s="213"/>
      <c r="W22" s="193"/>
      <c r="X22" s="193"/>
      <c r="Y22" s="193" t="s">
        <v>838</v>
      </c>
      <c r="Z22" s="272"/>
      <c r="AA22" s="195" t="s">
        <v>865</v>
      </c>
      <c r="AB22" s="195"/>
      <c r="AC22" s="275" t="s">
        <v>1111</v>
      </c>
      <c r="AD22" s="275"/>
      <c r="AE22" s="275"/>
      <c r="AF22" s="275"/>
      <c r="AG22" s="275"/>
      <c r="AH22" s="275" t="s">
        <v>1112</v>
      </c>
      <c r="AI22" s="275" t="s">
        <v>1113</v>
      </c>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row>
    <row r="23" spans="1:60">
      <c r="A23" s="10" t="e">
        <f>INDEX(Language!$D$6:$K$1231,1128,#REF!)</f>
        <v>#REF!</v>
      </c>
      <c r="B23" s="184" t="s">
        <v>1114</v>
      </c>
      <c r="C23" s="10">
        <v>18</v>
      </c>
      <c r="D23" s="194"/>
      <c r="E23" s="193"/>
      <c r="F23" s="193"/>
      <c r="G23" s="193"/>
      <c r="H23" s="193"/>
      <c r="I23" s="193" t="s">
        <v>542</v>
      </c>
      <c r="J23" s="193" t="s">
        <v>838</v>
      </c>
      <c r="K23" s="193"/>
      <c r="L23" s="193" t="s">
        <v>1115</v>
      </c>
      <c r="M23" s="193" t="s">
        <v>1116</v>
      </c>
      <c r="N23" s="193" t="s">
        <v>1117</v>
      </c>
      <c r="O23" s="193"/>
      <c r="P23" s="193"/>
      <c r="Q23" s="193"/>
      <c r="R23" s="193" t="s">
        <v>838</v>
      </c>
      <c r="S23" s="193"/>
      <c r="T23" s="193" t="s">
        <v>1118</v>
      </c>
      <c r="U23" s="193" t="e">
        <f>"No data"&amp;"_"&amp;U$5</f>
        <v>#REF!</v>
      </c>
      <c r="V23" s="213"/>
      <c r="W23" s="193"/>
      <c r="X23" s="193"/>
      <c r="Y23" s="193" t="s">
        <v>865</v>
      </c>
      <c r="Z23" s="272"/>
      <c r="AA23" s="195" t="e">
        <f>AA5</f>
        <v>#REF!</v>
      </c>
      <c r="AB23" s="195"/>
      <c r="AC23" s="275" t="str">
        <f>"No data"&amp;"_"&amp;AC$5</f>
        <v>No data_South Korea</v>
      </c>
      <c r="AD23" s="275"/>
      <c r="AE23" s="275"/>
      <c r="AF23" s="275"/>
      <c r="AG23" s="275"/>
      <c r="AH23" s="275" t="s">
        <v>1119</v>
      </c>
      <c r="AI23" s="275" t="s">
        <v>1120</v>
      </c>
      <c r="AJ23" s="275"/>
      <c r="AK23" s="275"/>
      <c r="AL23" s="275"/>
      <c r="AM23" s="275"/>
      <c r="AN23" s="275"/>
      <c r="AO23" s="275"/>
      <c r="AP23" s="275"/>
      <c r="AQ23" s="275"/>
      <c r="AR23" s="275"/>
      <c r="AS23" s="275"/>
      <c r="AT23" s="275"/>
      <c r="AU23" s="275"/>
      <c r="AV23" s="275"/>
      <c r="AW23" s="275"/>
      <c r="AX23" s="275"/>
      <c r="AY23" s="275"/>
      <c r="AZ23" s="275"/>
      <c r="BA23" s="275"/>
      <c r="BB23" s="275"/>
      <c r="BC23" s="275"/>
      <c r="BD23" s="275"/>
      <c r="BE23" s="275"/>
      <c r="BF23" s="275"/>
      <c r="BG23" s="275"/>
      <c r="BH23"/>
    </row>
    <row r="24" spans="1:60">
      <c r="A24" s="10" t="e">
        <f>INDEX(Language!$D$6:$K$1231,1129,#REF!)</f>
        <v>#REF!</v>
      </c>
      <c r="B24" s="184" t="s">
        <v>224</v>
      </c>
      <c r="C24" s="10">
        <v>19</v>
      </c>
      <c r="D24" s="194"/>
      <c r="E24" s="193"/>
      <c r="F24" s="193"/>
      <c r="G24" s="193"/>
      <c r="H24" s="193"/>
      <c r="I24" s="193"/>
      <c r="J24" s="193" t="s">
        <v>865</v>
      </c>
      <c r="K24" s="193"/>
      <c r="L24" s="193" t="s">
        <v>1121</v>
      </c>
      <c r="M24" s="193" t="s">
        <v>1122</v>
      </c>
      <c r="N24" s="193" t="s">
        <v>1123</v>
      </c>
      <c r="O24" s="193"/>
      <c r="P24" s="193"/>
      <c r="Q24" s="193"/>
      <c r="R24" s="193" t="s">
        <v>865</v>
      </c>
      <c r="S24" s="193"/>
      <c r="T24" s="193" t="s">
        <v>1124</v>
      </c>
      <c r="U24" s="193" t="s">
        <v>838</v>
      </c>
      <c r="V24" s="213"/>
      <c r="W24" s="193"/>
      <c r="X24" s="193"/>
      <c r="Y24" s="193" t="s">
        <v>560</v>
      </c>
      <c r="Z24" s="272"/>
      <c r="AA24" s="195"/>
      <c r="AB24" s="195"/>
      <c r="AC24" s="319" t="s">
        <v>838</v>
      </c>
      <c r="AD24" s="195"/>
      <c r="AE24" s="195"/>
      <c r="AF24" s="195"/>
      <c r="AG24" s="195"/>
      <c r="AH24" s="195" t="s">
        <v>1125</v>
      </c>
      <c r="AI24" s="195" t="s">
        <v>1126</v>
      </c>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c r="BH24"/>
    </row>
    <row r="25" spans="1:60">
      <c r="A25" s="10" t="e">
        <f>INDEX(Language!$D$6:$K$1231,1130,#REF!)</f>
        <v>#REF!</v>
      </c>
      <c r="B25" s="184" t="s">
        <v>226</v>
      </c>
      <c r="C25" s="10">
        <v>20</v>
      </c>
      <c r="D25" s="194"/>
      <c r="E25" s="193"/>
      <c r="F25" s="193"/>
      <c r="G25" s="193"/>
      <c r="H25" s="193"/>
      <c r="I25" s="193"/>
      <c r="J25" s="193" t="s">
        <v>543</v>
      </c>
      <c r="K25" s="193"/>
      <c r="L25" s="193" t="s">
        <v>1127</v>
      </c>
      <c r="M25" s="193" t="s">
        <v>1128</v>
      </c>
      <c r="N25" s="193" t="s">
        <v>1129</v>
      </c>
      <c r="O25" s="193"/>
      <c r="P25" s="193"/>
      <c r="Q25" s="193"/>
      <c r="R25" s="193" t="s">
        <v>553</v>
      </c>
      <c r="S25" s="193"/>
      <c r="T25" s="193" t="e">
        <f>"No data"&amp;"_"&amp;T$5</f>
        <v>#REF!</v>
      </c>
      <c r="U25" s="193" t="s">
        <v>865</v>
      </c>
      <c r="V25" s="193"/>
      <c r="W25" s="193"/>
      <c r="X25" s="193"/>
      <c r="Y25" s="193"/>
      <c r="Z25" s="272"/>
      <c r="AA25" s="195"/>
      <c r="AB25" s="195"/>
      <c r="AC25" s="195" t="s">
        <v>865</v>
      </c>
      <c r="AD25" s="195"/>
      <c r="AE25" s="195"/>
      <c r="AF25" s="195"/>
      <c r="AG25" s="195"/>
      <c r="AH25" s="195" t="s">
        <v>1130</v>
      </c>
      <c r="AI25" s="195" t="s">
        <v>1131</v>
      </c>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c r="BF25" s="195"/>
      <c r="BG25" s="195"/>
      <c r="BH25"/>
    </row>
    <row r="26" spans="1:60">
      <c r="A26" s="10" t="e">
        <f>INDEX(Language!$D$6:$K$1231,1131,#REF!)</f>
        <v>#REF!</v>
      </c>
      <c r="B26" s="184" t="s">
        <v>1132</v>
      </c>
      <c r="C26" s="10">
        <v>21</v>
      </c>
      <c r="D26" s="194"/>
      <c r="E26" s="193"/>
      <c r="F26" s="193"/>
      <c r="G26" s="193"/>
      <c r="H26" s="193"/>
      <c r="I26" s="193"/>
      <c r="J26" s="193"/>
      <c r="K26" s="193"/>
      <c r="L26" s="193" t="e">
        <f>"No data"&amp;"_"&amp;L$5</f>
        <v>#REF!</v>
      </c>
      <c r="M26" s="193" t="s">
        <v>1133</v>
      </c>
      <c r="N26" s="193" t="s">
        <v>1134</v>
      </c>
      <c r="O26" s="193"/>
      <c r="P26" s="193"/>
      <c r="Q26" s="193"/>
      <c r="R26" s="193"/>
      <c r="S26" s="193"/>
      <c r="T26" s="193" t="s">
        <v>838</v>
      </c>
      <c r="U26" s="193" t="s">
        <v>558</v>
      </c>
      <c r="V26" s="193"/>
      <c r="W26" s="193"/>
      <c r="X26" s="193"/>
      <c r="Y26" s="193"/>
      <c r="Z26" s="272"/>
      <c r="AA26" s="195"/>
      <c r="AB26" s="195"/>
      <c r="AC26" s="320" t="s">
        <v>326</v>
      </c>
      <c r="AD26" s="320"/>
      <c r="AE26" s="320"/>
      <c r="AF26" s="320"/>
      <c r="AG26" s="320"/>
      <c r="AH26" s="320" t="s">
        <v>1135</v>
      </c>
      <c r="AI26" s="320" t="s">
        <v>1136</v>
      </c>
      <c r="AJ26" s="320"/>
      <c r="AK26" s="320"/>
      <c r="AL26" s="320"/>
      <c r="AM26" s="320"/>
      <c r="AN26" s="320"/>
      <c r="AO26" s="320"/>
      <c r="AP26" s="320"/>
      <c r="AQ26" s="320"/>
      <c r="AR26" s="320"/>
      <c r="AS26" s="320"/>
      <c r="AT26" s="320"/>
      <c r="AU26" s="320"/>
      <c r="AV26" s="320"/>
      <c r="AW26" s="320"/>
      <c r="AX26" s="320"/>
      <c r="AY26" s="320"/>
      <c r="AZ26" s="320"/>
      <c r="BA26" s="320"/>
      <c r="BB26" s="320"/>
      <c r="BC26" s="320"/>
      <c r="BD26" s="320"/>
      <c r="BE26" s="320"/>
      <c r="BF26" s="320"/>
      <c r="BG26" s="320"/>
      <c r="BH26"/>
    </row>
    <row r="27" spans="1:60">
      <c r="A27" s="10" t="e">
        <f>INDEX(Language!$D$6:$K$1231,1132,#REF!)</f>
        <v>#REF!</v>
      </c>
      <c r="B27" s="184" t="s">
        <v>1137</v>
      </c>
      <c r="C27" s="10">
        <v>22</v>
      </c>
      <c r="D27" s="194"/>
      <c r="E27" s="193"/>
      <c r="F27" s="193"/>
      <c r="G27" s="193"/>
      <c r="H27" s="193"/>
      <c r="I27" s="193"/>
      <c r="J27" s="193"/>
      <c r="K27" s="193"/>
      <c r="L27" s="193" t="s">
        <v>838</v>
      </c>
      <c r="M27" s="193" t="s">
        <v>1138</v>
      </c>
      <c r="N27" s="193" t="e">
        <f>"No data"&amp;"_"&amp;N$5</f>
        <v>#REF!</v>
      </c>
      <c r="O27" s="193"/>
      <c r="P27" s="193"/>
      <c r="Q27" s="193"/>
      <c r="R27" s="193"/>
      <c r="S27" s="193"/>
      <c r="T27" s="193" t="s">
        <v>865</v>
      </c>
      <c r="U27" s="193"/>
      <c r="V27" s="193"/>
      <c r="W27" s="193"/>
      <c r="X27" s="193"/>
      <c r="Y27" s="193"/>
      <c r="Z27" s="272"/>
      <c r="AA27" s="195"/>
      <c r="AB27" s="195"/>
      <c r="AC27" s="275"/>
      <c r="AD27" s="275"/>
      <c r="AE27" s="275"/>
      <c r="AF27" s="275"/>
      <c r="AG27" s="275"/>
      <c r="AH27" s="275" t="e">
        <f>"No data"&amp;"_"&amp;AH$5</f>
        <v>#REF!</v>
      </c>
      <c r="AI27" s="275" t="s">
        <v>1139</v>
      </c>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row>
    <row r="28" spans="1:60">
      <c r="A28" s="10" t="e">
        <f>INDEX(Language!$D$6:$K$1231,1133,#REF!)</f>
        <v>#REF!</v>
      </c>
      <c r="C28" s="10">
        <v>23</v>
      </c>
      <c r="D28" s="194"/>
      <c r="E28" s="193"/>
      <c r="F28" s="193"/>
      <c r="G28" s="193"/>
      <c r="H28" s="193"/>
      <c r="I28" s="193"/>
      <c r="J28" s="193"/>
      <c r="K28" s="193"/>
      <c r="L28" s="193" t="s">
        <v>865</v>
      </c>
      <c r="M28" s="193" t="s">
        <v>1140</v>
      </c>
      <c r="N28" s="193" t="s">
        <v>838</v>
      </c>
      <c r="O28" s="193"/>
      <c r="P28" s="193"/>
      <c r="Q28" s="193"/>
      <c r="R28" s="193"/>
      <c r="S28" s="193"/>
      <c r="T28" s="193" t="s">
        <v>541</v>
      </c>
      <c r="U28" s="193"/>
      <c r="V28" s="193"/>
      <c r="W28" s="193"/>
      <c r="X28" s="193"/>
      <c r="Y28" s="193"/>
      <c r="Z28" s="272"/>
      <c r="AA28" s="195"/>
      <c r="AB28" s="195"/>
      <c r="AC28" s="275"/>
      <c r="AD28" s="275"/>
      <c r="AE28" s="275"/>
      <c r="AF28" s="275"/>
      <c r="AG28" s="275"/>
      <c r="AH28" s="275" t="s">
        <v>838</v>
      </c>
      <c r="AI28" s="275" t="e">
        <f>"No data"&amp;"_"&amp;AI$5</f>
        <v>#REF!</v>
      </c>
      <c r="AJ28" s="275"/>
      <c r="AK28" s="275"/>
      <c r="AL28" s="275"/>
      <c r="AM28" s="275"/>
      <c r="AN28" s="275"/>
      <c r="AO28" s="275"/>
      <c r="AP28" s="275"/>
      <c r="AQ28" s="275"/>
      <c r="AR28" s="275"/>
      <c r="AS28" s="275"/>
      <c r="AT28" s="275"/>
      <c r="AU28" s="275"/>
      <c r="AV28" s="275"/>
      <c r="AW28" s="275"/>
      <c r="AX28" s="275"/>
      <c r="AY28" s="275"/>
      <c r="AZ28" s="275"/>
      <c r="BA28" s="275"/>
      <c r="BB28" s="275"/>
      <c r="BC28" s="275"/>
      <c r="BD28" s="275"/>
      <c r="BE28" s="275"/>
      <c r="BF28" s="275"/>
      <c r="BG28" s="275"/>
      <c r="BH28"/>
    </row>
    <row r="29" spans="1:60" ht="13.5" thickBot="1">
      <c r="A29" s="298" t="e">
        <f>INDEX(Language!$D$6:$K$2227,1734,#REF!)</f>
        <v>#REF!</v>
      </c>
      <c r="D29" s="196"/>
      <c r="E29" s="197"/>
      <c r="F29" s="197"/>
      <c r="G29" s="197"/>
      <c r="H29" s="197"/>
      <c r="I29" s="193"/>
      <c r="J29" s="197"/>
      <c r="K29" s="197"/>
      <c r="L29" s="197" t="s">
        <v>546</v>
      </c>
      <c r="M29" s="197" t="s">
        <v>1141</v>
      </c>
      <c r="N29" s="193" t="s">
        <v>865</v>
      </c>
      <c r="O29" s="197"/>
      <c r="P29" s="197"/>
      <c r="Q29" s="197"/>
      <c r="R29" s="197"/>
      <c r="S29" s="197"/>
      <c r="T29" s="197"/>
      <c r="U29" s="197"/>
      <c r="V29" s="197"/>
      <c r="W29" s="197"/>
      <c r="X29" s="197"/>
      <c r="Y29" s="197"/>
      <c r="Z29" s="273"/>
      <c r="AA29" s="198"/>
      <c r="AB29" s="198"/>
      <c r="AC29" s="275"/>
      <c r="AD29" s="275"/>
      <c r="AE29" s="275"/>
      <c r="AF29" s="275"/>
      <c r="AG29" s="275"/>
      <c r="AH29" s="275" t="s">
        <v>865</v>
      </c>
      <c r="AI29" s="275" t="s">
        <v>838</v>
      </c>
      <c r="AJ29" s="275"/>
      <c r="AK29" s="275"/>
      <c r="AL29" s="275"/>
      <c r="AM29" s="275"/>
      <c r="AN29" s="275"/>
      <c r="AO29" s="275"/>
      <c r="AP29" s="275"/>
      <c r="AQ29" s="275"/>
      <c r="AR29" s="275"/>
      <c r="AS29" s="275"/>
      <c r="AT29" s="275"/>
      <c r="AU29" s="275"/>
      <c r="AV29" s="275"/>
      <c r="AW29" s="275"/>
      <c r="AX29" s="275"/>
      <c r="AY29" s="275"/>
      <c r="AZ29" s="275"/>
      <c r="BA29" s="275"/>
      <c r="BB29" s="275"/>
      <c r="BC29" s="275"/>
      <c r="BD29" s="275"/>
      <c r="BE29" s="275"/>
      <c r="BF29" s="275"/>
      <c r="BG29" s="275"/>
      <c r="BH29"/>
    </row>
    <row r="30" spans="1:60" ht="13.5" thickBot="1">
      <c r="D30" s="196"/>
      <c r="E30" s="197"/>
      <c r="F30" s="197"/>
      <c r="G30" s="197"/>
      <c r="H30" s="197"/>
      <c r="I30" s="193"/>
      <c r="J30" s="197"/>
      <c r="K30" s="197"/>
      <c r="L30" s="197"/>
      <c r="M30" s="197" t="s">
        <v>1142</v>
      </c>
      <c r="N30" s="197" t="s">
        <v>548</v>
      </c>
      <c r="O30" s="197"/>
      <c r="P30" s="197"/>
      <c r="Q30" s="197"/>
      <c r="R30" s="197"/>
      <c r="S30" s="197"/>
      <c r="T30" s="197"/>
      <c r="U30" s="197"/>
      <c r="V30" s="197"/>
      <c r="W30" s="197"/>
      <c r="X30" s="197"/>
      <c r="Y30" s="197"/>
      <c r="Z30" s="273"/>
      <c r="AA30" s="198"/>
      <c r="AB30" s="198"/>
      <c r="AC30" s="275"/>
      <c r="AD30" s="275"/>
      <c r="AE30" s="275"/>
      <c r="AF30" s="275"/>
      <c r="AG30" s="275"/>
      <c r="AH30" s="275" t="s">
        <v>1143</v>
      </c>
      <c r="AI30" s="275" t="s">
        <v>865</v>
      </c>
      <c r="AJ30" s="275"/>
      <c r="AK30" s="275"/>
      <c r="AL30" s="275"/>
      <c r="AM30" s="275"/>
      <c r="AN30" s="275"/>
      <c r="AO30" s="275"/>
      <c r="AP30" s="275"/>
      <c r="AQ30" s="275"/>
      <c r="AR30" s="275"/>
      <c r="AS30" s="275"/>
      <c r="AT30" s="275"/>
      <c r="AU30" s="275"/>
      <c r="AV30" s="275"/>
      <c r="AW30" s="275"/>
      <c r="AX30" s="275"/>
      <c r="AY30" s="275"/>
      <c r="AZ30" s="275"/>
      <c r="BA30" s="275"/>
      <c r="BB30" s="275"/>
      <c r="BC30" s="275"/>
      <c r="BD30" s="275"/>
      <c r="BE30" s="275"/>
      <c r="BF30" s="275"/>
      <c r="BG30" s="275"/>
      <c r="BH30"/>
    </row>
    <row r="31" spans="1:60">
      <c r="A31" s="3" t="e">
        <f>INDEX(Language!$D$6:$K$1231,1135,#REF!)</f>
        <v>#REF!</v>
      </c>
      <c r="E31" s="3" t="e">
        <f>INDEX(Language!$D$6:$K$1231,1175,#REF!)</f>
        <v>#REF!</v>
      </c>
      <c r="I31" s="193"/>
      <c r="M31" s="193" t="e">
        <f>"No data"&amp;"_"&amp;M$5</f>
        <v>#REF!</v>
      </c>
      <c r="AI31" s="10" t="s">
        <v>1144</v>
      </c>
      <c r="BG31"/>
      <c r="BH31"/>
    </row>
    <row r="32" spans="1:60">
      <c r="A32" s="10" t="e">
        <f>INDEX(Language!$D$6:$K$1231,1136,#REF!)</f>
        <v>#REF!</v>
      </c>
      <c r="E32" s="10" t="e">
        <f>INDEX(Language!$D$6:$K$1231,1176,#REF!)</f>
        <v>#REF!</v>
      </c>
      <c r="G32" s="10" t="s">
        <v>1145</v>
      </c>
      <c r="M32" s="193" t="s">
        <v>838</v>
      </c>
      <c r="Q32" s="211"/>
      <c r="BG32"/>
      <c r="BH32"/>
    </row>
    <row r="33" spans="1:60">
      <c r="A33" s="10" t="e">
        <f>INDEX(Language!$D$6:$K$1231,1137,#REF!)</f>
        <v>#REF!</v>
      </c>
      <c r="B33" s="10">
        <v>1</v>
      </c>
      <c r="E33" s="10" t="e">
        <f>INDEX(Language!$D$6:$K$1231,1177,#REF!)</f>
        <v>#REF!</v>
      </c>
      <c r="G33" s="10" t="s">
        <v>1146</v>
      </c>
      <c r="M33" s="193" t="s">
        <v>865</v>
      </c>
      <c r="O33" s="211"/>
      <c r="BG33"/>
      <c r="BH33"/>
    </row>
    <row r="34" spans="1:60">
      <c r="A34" s="10" t="e">
        <f>INDEX(Language!$D$6:$K$1231,1138,#REF!)</f>
        <v>#REF!</v>
      </c>
      <c r="B34" s="10">
        <v>2</v>
      </c>
      <c r="E34" s="10" t="e">
        <f>INDEX(Language!$D$6:$K$1231,1178,#REF!)</f>
        <v>#REF!</v>
      </c>
      <c r="G34" s="10" t="s">
        <v>1147</v>
      </c>
      <c r="M34" s="10" t="s">
        <v>547</v>
      </c>
      <c r="BG34"/>
      <c r="BH34"/>
    </row>
    <row r="35" spans="1:60">
      <c r="A35" s="10" t="e">
        <f>INDEX(Language!$D$6:$K$1231,1139,#REF!)</f>
        <v>#REF!</v>
      </c>
      <c r="B35" s="10">
        <v>3</v>
      </c>
      <c r="E35" s="10" t="e">
        <f>INDEX(Language!$D$6:$K$1231,1179,#REF!)</f>
        <v>#REF!</v>
      </c>
      <c r="H35" s="3"/>
      <c r="J35" s="10">
        <v>1</v>
      </c>
      <c r="K35" s="321" t="e">
        <f>VLOOKUP(1220,Language!$C$6:$K$5262,#REF!+1,FALSE)</f>
        <v>#REF!</v>
      </c>
      <c r="BG35"/>
      <c r="BH35"/>
    </row>
    <row r="36" spans="1:60">
      <c r="A36" s="10" t="e">
        <f>INDEX(Language!$D$6:$K$1231,1140,#REF!)</f>
        <v>#REF!</v>
      </c>
      <c r="B36" s="10">
        <v>4</v>
      </c>
      <c r="J36" s="10">
        <v>2</v>
      </c>
      <c r="K36" s="321" t="e">
        <f>VLOOKUP(1221,Language!$C$6:$K$5262,#REF!+1,FALSE)</f>
        <v>#REF!</v>
      </c>
      <c r="BG36"/>
      <c r="BH36"/>
    </row>
    <row r="37" spans="1:60">
      <c r="A37" s="10" t="e">
        <f>INDEX(Language!$D$6:$K$1231,1141,#REF!)</f>
        <v>#REF!</v>
      </c>
      <c r="B37" s="10">
        <v>5</v>
      </c>
      <c r="E37" s="10" t="e">
        <f>INDEX(Language!$D$6:$K$1231,1181,#REF!)</f>
        <v>#REF!</v>
      </c>
      <c r="J37" s="10">
        <v>3</v>
      </c>
      <c r="K37" s="321" t="e">
        <f>VLOOKUP(1222,Language!$C$6:$K$5262,#REF!+1,FALSE)</f>
        <v>#REF!</v>
      </c>
      <c r="BG37"/>
      <c r="BH37"/>
    </row>
    <row r="38" spans="1:60">
      <c r="A38" s="10" t="e">
        <f>INDEX(Language!$D$6:$K$1231,1142,#REF!)</f>
        <v>#REF!</v>
      </c>
      <c r="B38" s="10">
        <v>6</v>
      </c>
      <c r="E38" s="10" t="e">
        <f>INDEX(Language!$D$6:$K$1231,1182,#REF!)</f>
        <v>#REF!</v>
      </c>
      <c r="G38" s="10" t="e">
        <f>INDEX(Language!$D$6:$K$1231,466,#REF!)</f>
        <v>#REF!</v>
      </c>
      <c r="J38" s="10">
        <v>4</v>
      </c>
      <c r="K38" s="321" t="e">
        <f>VLOOKUP(1223,Language!$C$6:$K$5262,#REF!+1,FALSE)</f>
        <v>#REF!</v>
      </c>
      <c r="BG38"/>
      <c r="BH38"/>
    </row>
    <row r="39" spans="1:60">
      <c r="A39" s="10" t="e">
        <f>INDEX(Language!$D$6:$K$1231,1143,#REF!)</f>
        <v>#REF!</v>
      </c>
      <c r="B39" s="10">
        <v>7</v>
      </c>
      <c r="E39" s="10" t="e">
        <f>INDEX(Language!$D$6:$K$1231,1183,#REF!)</f>
        <v>#REF!</v>
      </c>
      <c r="G39" s="11" t="e">
        <f>VLOOKUP(464.2,Language!$C$6:$K$5262,#REF!+1,FALSE)</f>
        <v>#REF!</v>
      </c>
      <c r="J39" s="10">
        <v>5</v>
      </c>
      <c r="K39" s="321" t="e">
        <f>VLOOKUP(1224,Language!$C$6:$K$5262,#REF!+1,FALSE)</f>
        <v>#REF!</v>
      </c>
      <c r="BG39"/>
      <c r="BH39"/>
    </row>
    <row r="40" spans="1:60">
      <c r="A40" s="10" t="e">
        <f>INDEX(Language!$D$6:$K$1231,1144,#REF!)</f>
        <v>#REF!</v>
      </c>
      <c r="B40" s="10">
        <v>8</v>
      </c>
      <c r="G40" s="10" t="e">
        <f>VLOOKUP(464.3,Language!$C$6:$K$5262,#REF!+1,FALSE)</f>
        <v>#REF!</v>
      </c>
      <c r="J40" s="10">
        <v>6</v>
      </c>
      <c r="K40" s="321" t="e">
        <f>VLOOKUP(1225,Language!$C$6:$K$5262,#REF!+1,FALSE)</f>
        <v>#REF!</v>
      </c>
      <c r="BG40"/>
      <c r="BH40"/>
    </row>
    <row r="41" spans="1:60">
      <c r="A41" s="10" t="e">
        <f>INDEX(Language!$D$6:$K$1231,1145,#REF!)</f>
        <v>#REF!</v>
      </c>
      <c r="B41" s="10">
        <v>9</v>
      </c>
      <c r="E41" s="10" t="e">
        <f>INDEX(Language!$D$6:$K$1231,1185,#REF!)</f>
        <v>#REF!</v>
      </c>
      <c r="G41" s="10" t="e">
        <f>VLOOKUP(464.4,Language!$C$6:$K$5262,#REF!+1,FALSE)</f>
        <v>#REF!</v>
      </c>
      <c r="I41" s="10" t="e">
        <f>INDEX(Language!$D$6:$K$1231,1208,#REF!)</f>
        <v>#REF!</v>
      </c>
      <c r="J41" s="10">
        <v>7</v>
      </c>
      <c r="K41" s="321" t="e">
        <f>VLOOKUP(1226,Language!$C$6:$K$5262,#REF!+1,FALSE)</f>
        <v>#REF!</v>
      </c>
      <c r="BG41"/>
      <c r="BH41"/>
    </row>
    <row r="42" spans="1:60">
      <c r="A42" s="10" t="e">
        <f>INDEX(Language!$D$6:$K$1231,1146,#REF!)</f>
        <v>#REF!</v>
      </c>
      <c r="B42" s="10">
        <v>10</v>
      </c>
      <c r="E42" s="10" t="e">
        <f>INDEX(Language!$D$6:$K$1231,1186,#REF!)</f>
        <v>#REF!</v>
      </c>
      <c r="G42" s="10" t="e">
        <f>VLOOKUP(1812,Language!$C$6:$K$5262,#REF!+1,FALSE)</f>
        <v>#REF!</v>
      </c>
      <c r="I42" s="10" t="e">
        <f>INDEX(Language!$D$6:$K$1231,1209,#REF!)</f>
        <v>#REF!</v>
      </c>
      <c r="K42" s="321" t="e">
        <f>VLOOKUP(1227,Language!$C$6:$K$5262,#REF!+1,FALSE)</f>
        <v>#REF!</v>
      </c>
    </row>
    <row r="43" spans="1:60">
      <c r="A43" s="10" t="e">
        <f>INDEX(Language!$D$6:$K$1231,1147,#REF!)</f>
        <v>#REF!</v>
      </c>
      <c r="B43" s="10">
        <v>11</v>
      </c>
      <c r="G43" s="10" t="e">
        <f>INDEX(Language!$D$6:$K$1231,467,#REF!)</f>
        <v>#REF!</v>
      </c>
      <c r="K43" s="321"/>
    </row>
    <row r="44" spans="1:60">
      <c r="A44" s="10" t="e">
        <f>INDEX(Language!$D$6:$K$1231,1148,#REF!)</f>
        <v>#REF!</v>
      </c>
      <c r="B44" s="10">
        <v>12</v>
      </c>
      <c r="K44" s="321"/>
    </row>
    <row r="45" spans="1:60">
      <c r="A45" s="10" t="e">
        <f>INDEX(Language!$D$6:$K$1231,1149,#REF!)</f>
        <v>#REF!</v>
      </c>
      <c r="B45" s="10">
        <v>13</v>
      </c>
      <c r="E45" s="10" t="s">
        <v>1148</v>
      </c>
      <c r="I45" s="10" t="e">
        <f>INDEX(Language!$D$6:$K$1231,1212,#REF!)</f>
        <v>#REF!</v>
      </c>
    </row>
    <row r="46" spans="1:60">
      <c r="A46" s="10" t="e">
        <f>INDEX(Language!$D$6:$K$1231,1150,#REF!)</f>
        <v>#REF!</v>
      </c>
      <c r="B46" s="10">
        <v>14</v>
      </c>
      <c r="E46" s="10" t="s">
        <v>1149</v>
      </c>
      <c r="I46" s="10" t="e">
        <f>INDEX(Language!$D$6:$K$1231,1213,#REF!)</f>
        <v>#REF!</v>
      </c>
    </row>
    <row r="47" spans="1:60">
      <c r="A47" s="10" t="e">
        <f>INDEX(Language!$D$6:$K$1231,1151,#REF!)</f>
        <v>#REF!</v>
      </c>
      <c r="B47" s="10">
        <v>15</v>
      </c>
      <c r="E47" s="10" t="s">
        <v>1150</v>
      </c>
    </row>
    <row r="48" spans="1:60">
      <c r="A48" s="10">
        <v>0</v>
      </c>
      <c r="B48" s="10">
        <v>16</v>
      </c>
      <c r="E48" s="10" t="s">
        <v>1151</v>
      </c>
      <c r="I48" s="10" t="e">
        <f>INDEX(Language!$D$6:$K$1231,1215,#REF!)</f>
        <v>#REF!</v>
      </c>
      <c r="K48" s="10" t="e">
        <f>VLOOKUP(1814,Language!$C$6:$K$5262,#REF!+1,FALSE)</f>
        <v>#REF!</v>
      </c>
    </row>
    <row r="49" spans="1:11">
      <c r="A49" s="10">
        <v>0</v>
      </c>
      <c r="B49" s="10">
        <v>17</v>
      </c>
      <c r="E49" s="10" t="s">
        <v>1152</v>
      </c>
      <c r="I49" s="10" t="e">
        <f>INDEX(Language!$D$6:$K$1231,1216,#REF!)</f>
        <v>#REF!</v>
      </c>
      <c r="K49" s="10" t="e">
        <f>VLOOKUP(1815,Language!$C$6:$K$5262,#REF!+1,FALSE)</f>
        <v>#REF!</v>
      </c>
    </row>
    <row r="50" spans="1:11">
      <c r="A50" s="10" t="e">
        <f>INDEX(Language!$D$6:$K$1231,1154,#REF!)</f>
        <v>#REF!</v>
      </c>
      <c r="B50" s="10">
        <v>18</v>
      </c>
      <c r="E50" s="10" t="s">
        <v>1153</v>
      </c>
      <c r="K50" s="10" t="e">
        <f>VLOOKUP(1816,Language!$C$6:$K$5262,#REF!+1,FALSE)</f>
        <v>#REF!</v>
      </c>
    </row>
    <row r="51" spans="1:11">
      <c r="B51" s="10">
        <v>19</v>
      </c>
      <c r="E51" s="10" t="s">
        <v>1154</v>
      </c>
      <c r="I51" s="10" t="e">
        <f>INDEX(Language!$D$6:$K$1231,1218,#REF!)</f>
        <v>#REF!</v>
      </c>
      <c r="K51" s="10" t="e">
        <f>VLOOKUP(1817,Language!$C$6:$K$5262,#REF!+1,FALSE)</f>
        <v>#REF!</v>
      </c>
    </row>
    <row r="52" spans="1:11">
      <c r="E52" s="10" t="s">
        <v>1155</v>
      </c>
      <c r="I52" s="10" t="e">
        <f>INDEX(Language!$D$6:$K$1231,1219,#REF!)</f>
        <v>#REF!</v>
      </c>
      <c r="K52" s="10" t="e">
        <f>VLOOKUP(1818,Language!$C$6:$K$5262,#REF!+1,FALSE)</f>
        <v>#REF!</v>
      </c>
    </row>
    <row r="53" spans="1:11">
      <c r="E53" s="10" t="s">
        <v>121</v>
      </c>
      <c r="K53" s="10" t="e">
        <f>VLOOKUP(1819,Language!$C$6:$K$5262,#REF!+1,FALSE)</f>
        <v>#REF!</v>
      </c>
    </row>
    <row r="54" spans="1:11">
      <c r="A54" s="3" t="e">
        <f>INDEX(Language!$D$6:$K$1231,1156,#REF!)</f>
        <v>#REF!</v>
      </c>
      <c r="K54" s="10" t="e">
        <f>VLOOKUP(1820,Language!$C$6:$K$5262,#REF!+1,FALSE)</f>
        <v>#REF!</v>
      </c>
    </row>
    <row r="55" spans="1:11">
      <c r="A55" s="184" t="e">
        <f>INDEX(Language!$D$6:$K$1231,1157,#REF!)</f>
        <v>#REF!</v>
      </c>
      <c r="K55" s="10" t="e">
        <f>VLOOKUP(1821,Language!$C$6:$K$5262,#REF!+1,FALSE)</f>
        <v>#REF!</v>
      </c>
    </row>
    <row r="56" spans="1:11">
      <c r="A56" s="184" t="e">
        <f>INDEX(Language!$D$6:$K$1231,1158,#REF!)</f>
        <v>#REF!</v>
      </c>
      <c r="E56" s="10" t="e">
        <f>INDEX(Language!$D$6:$K$1231,1188,#REF!)</f>
        <v>#REF!</v>
      </c>
      <c r="F56" s="11" t="e">
        <f>VLOOKUP(463.1,Language!$C$6:$K$5262,#REF!+1,FALSE)</f>
        <v>#REF!</v>
      </c>
      <c r="G56" s="10" t="e">
        <f>VLOOKUP(1763,Language!$C$6:$K$5262,#REF!+1,FALSE)</f>
        <v>#REF!</v>
      </c>
      <c r="I56" s="10" t="e">
        <f>INDEX(Language!$D$6:$K$1231,456,#REF!)</f>
        <v>#REF!</v>
      </c>
      <c r="K56" s="10" t="e">
        <f>VLOOKUP(1822,Language!$C$6:$K$5262,#REF!+1,FALSE)</f>
        <v>#REF!</v>
      </c>
    </row>
    <row r="57" spans="1:11">
      <c r="A57" s="184" t="e">
        <f>INDEX(Language!$D$6:$K$1231,1159,#REF!)</f>
        <v>#REF!</v>
      </c>
      <c r="E57" s="10" t="e">
        <f>INDEX(Language!$D$6:$K$1231,1189,#REF!)</f>
        <v>#REF!</v>
      </c>
      <c r="F57" s="11" t="e">
        <f>VLOOKUP(463.2,Language!$C$6:$K$5262,#REF!+1,FALSE)</f>
        <v>#REF!</v>
      </c>
      <c r="G57" s="10" t="e">
        <f>VLOOKUP(1764,Language!$C$6:$K$5262,#REF!+1,FALSE)</f>
        <v>#REF!</v>
      </c>
      <c r="I57" s="10" t="e">
        <f>INDEX(Language!$D$6:$K$1231,457,#REF!)</f>
        <v>#REF!</v>
      </c>
      <c r="K57" s="10" t="e">
        <f>VLOOKUP(1823,Language!$C$6:$K$5262,#REF!+1,FALSE)</f>
        <v>#REF!</v>
      </c>
    </row>
    <row r="58" spans="1:11">
      <c r="A58" s="184" t="e">
        <f>INDEX(Language!$D$6:$K$1231,1160,#REF!)</f>
        <v>#REF!</v>
      </c>
      <c r="E58" s="10" t="e">
        <f>INDEX(Language!$D$6:$K$1231,1190,#REF!)</f>
        <v>#REF!</v>
      </c>
      <c r="F58" s="10" t="e">
        <f>VLOOKUP(1756,Language!$C$6:$K$5262,#REF!+1,FALSE)</f>
        <v>#REF!</v>
      </c>
      <c r="G58" s="10" t="e">
        <f>VLOOKUP(1765,Language!$C$6:$K$5262,#REF!+1,FALSE)</f>
        <v>#REF!</v>
      </c>
      <c r="I58" s="10" t="e">
        <f>INDEX(Language!$D$6:$K$1231,458,#REF!)</f>
        <v>#REF!</v>
      </c>
    </row>
    <row r="59" spans="1:11">
      <c r="A59" s="184" t="e">
        <f>INDEX(Language!$D$6:$K$1231,1161,#REF!)</f>
        <v>#REF!</v>
      </c>
      <c r="I59" s="10" t="e">
        <f>INDEX(Language!$D$6:$K$1231,459,#REF!)</f>
        <v>#REF!</v>
      </c>
    </row>
    <row r="60" spans="1:11">
      <c r="A60" s="184" t="e">
        <f>INDEX(Language!$D$6:$K$1231,1162,#REF!)</f>
        <v>#REF!</v>
      </c>
      <c r="E60" s="10" t="e">
        <f>INDEX(Language!$D$6:$K$1231,1192,#REF!)</f>
        <v>#REF!</v>
      </c>
      <c r="F60" s="10" t="e">
        <f>INDEX(Language!$D$6:$K$1231,318,#REF!)</f>
        <v>#REF!</v>
      </c>
      <c r="I60" s="10" t="e">
        <f>INDEX(Language!$D$6:$K$1231,460,#REF!)</f>
        <v>#REF!</v>
      </c>
    </row>
    <row r="61" spans="1:11">
      <c r="A61" s="184" t="e">
        <f>INDEX(Language!$D$6:$K$1231,1163,#REF!)</f>
        <v>#REF!</v>
      </c>
      <c r="E61" s="10" t="e">
        <f>INDEX(Language!$D$6:$K$1231,1193,#REF!)</f>
        <v>#REF!</v>
      </c>
      <c r="F61" s="10" t="e">
        <f>INDEX(Language!$D$6:$K$1231,319,#REF!)</f>
        <v>#REF!</v>
      </c>
      <c r="I61" s="10" t="e">
        <f>INDEX(Language!$D$6:$K$1231,461,#REF!)</f>
        <v>#REF!</v>
      </c>
    </row>
    <row r="62" spans="1:11">
      <c r="A62" s="184" t="e">
        <f>INDEX(Language!$D$6:$K$1231,1164,#REF!)</f>
        <v>#REF!</v>
      </c>
      <c r="E62" s="10" t="e">
        <f>INDEX(Language!$D$6:$K$1231,1194,#REF!)</f>
        <v>#REF!</v>
      </c>
      <c r="F62" s="10" t="e">
        <f>INDEX(Language!$D$6:$K$1231,320,#REF!)</f>
        <v>#REF!</v>
      </c>
      <c r="I62" s="10" t="e">
        <f>INDEX(Language!$D$6:$K$1231,462,#REF!)</f>
        <v>#REF!</v>
      </c>
      <c r="K62" s="10" t="e">
        <f>VLOOKUP(1824,Language!$C$6:$K$5262,#REF!+1,FALSE)</f>
        <v>#REF!</v>
      </c>
    </row>
    <row r="63" spans="1:11">
      <c r="A63" s="184" t="e">
        <f>INDEX(Language!$D$6:$K$1231,1165,#REF!)</f>
        <v>#REF!</v>
      </c>
      <c r="E63" s="10" t="e">
        <f>INDEX(Language!$D$6:$K$1231,1195,#REF!)</f>
        <v>#REF!</v>
      </c>
      <c r="F63" s="10" t="e">
        <f>INDEX(Language!$D$6:$K$1231,321,#REF!)</f>
        <v>#REF!</v>
      </c>
      <c r="I63" s="10" t="e">
        <f>INDEX(Language!$D$6:$K$1231,322,#REF!)</f>
        <v>#REF!</v>
      </c>
      <c r="K63" s="10" t="e">
        <f>VLOOKUP(1825,Language!$C$6:$K$5262,#REF!+1,FALSE)</f>
        <v>#REF!</v>
      </c>
    </row>
    <row r="64" spans="1:11">
      <c r="A64" s="184" t="e">
        <f>INDEX(Language!$D$6:$K$1231,1166,#REF!)</f>
        <v>#REF!</v>
      </c>
      <c r="E64" s="10" t="e">
        <f>INDEX(Language!$D$6:$K$1231,1188,#REF!)</f>
        <v>#REF!</v>
      </c>
      <c r="F64" s="10" t="e">
        <f>INDEX(Language!$D$6:$K$1231,322,#REF!)</f>
        <v>#REF!</v>
      </c>
      <c r="K64" s="10" t="e">
        <f>VLOOKUP(1826,Language!$C$6:$K$5262,#REF!+1,FALSE)</f>
        <v>#REF!</v>
      </c>
    </row>
    <row r="65" spans="1:11">
      <c r="A65" s="184" t="e">
        <f>INDEX(Language!$D$6:$K$1231,1167,#REF!)</f>
        <v>#REF!</v>
      </c>
      <c r="E65" s="10" t="e">
        <f>INDEX(Language!$D$6:$K$1231,322,#REF!)</f>
        <v>#REF!</v>
      </c>
      <c r="K65" s="10" t="e">
        <f>VLOOKUP(1827,Language!$C$6:$K$5262,#REF!+1,FALSE)</f>
        <v>#REF!</v>
      </c>
    </row>
    <row r="66" spans="1:11" ht="13.5" thickBot="1">
      <c r="A66" s="322" t="e">
        <f>INDEX(Language!$D$6:$K$1231,1168,#REF!)</f>
        <v>#REF!</v>
      </c>
      <c r="K66" s="10" t="e">
        <f>VLOOKUP(1828,Language!$C$6:$K$5262,#REF!+1,FALSE)</f>
        <v>#REF!</v>
      </c>
    </row>
    <row r="67" spans="1:11" ht="13.5" thickTop="1">
      <c r="G67" s="10" t="e">
        <f>E60</f>
        <v>#REF!</v>
      </c>
      <c r="K67" s="10" t="e">
        <f>VLOOKUP(1829,Language!$C$6:$K$5262,#REF!+1,FALSE)</f>
        <v>#REF!</v>
      </c>
    </row>
    <row r="68" spans="1:11">
      <c r="A68" s="3" t="e">
        <f>INDEX(Language!$D$6:$K$1231,1170,#REF!)</f>
        <v>#REF!</v>
      </c>
      <c r="G68" s="10" t="e">
        <f>E61</f>
        <v>#REF!</v>
      </c>
      <c r="K68" s="10" t="e">
        <f>VLOOKUP(1830,Language!$C$6:$K$5262,#REF!+1,FALSE)</f>
        <v>#REF!</v>
      </c>
    </row>
    <row r="69" spans="1:11">
      <c r="A69" s="184" t="e">
        <f>INDEX(Language!$D$6:$K$1231,1171,#REF!)</f>
        <v>#REF!</v>
      </c>
      <c r="E69" s="3" t="e">
        <f>INDEX(Language!$D$6:$K$1231,1198,#REF!)</f>
        <v>#REF!</v>
      </c>
      <c r="F69" s="184" t="s">
        <v>1156</v>
      </c>
      <c r="G69" s="10" t="e">
        <f>E62</f>
        <v>#REF!</v>
      </c>
      <c r="K69" s="10" t="e">
        <f>VLOOKUP(1831,Language!$C$6:$K$5262,#REF!+1,FALSE)</f>
        <v>#REF!</v>
      </c>
    </row>
    <row r="70" spans="1:11">
      <c r="A70" s="184" t="e">
        <f>INDEX(Language!$D$6:$K$1231,1172,#REF!)</f>
        <v>#REF!</v>
      </c>
      <c r="E70" s="11"/>
      <c r="F70" s="184" t="s">
        <v>1157</v>
      </c>
      <c r="G70" s="10" t="e">
        <f>E63</f>
        <v>#REF!</v>
      </c>
    </row>
    <row r="71" spans="1:11">
      <c r="A71" s="184" t="s">
        <v>1158</v>
      </c>
      <c r="E71" s="11" t="e">
        <f>INDEX(Language!$D$6:$K$1231,1199,#REF!)</f>
        <v>#REF!</v>
      </c>
      <c r="F71" s="184" t="s">
        <v>1159</v>
      </c>
      <c r="G71" s="10" t="e">
        <f>E65</f>
        <v>#REF!</v>
      </c>
      <c r="I71" s="10" t="e">
        <f>VLOOKUP(1836,Language!$C$6:$K$5262,#REF!+1,FALSE)</f>
        <v>#REF!</v>
      </c>
    </row>
    <row r="72" spans="1:11">
      <c r="E72" s="10" t="e">
        <f>INDEX(Language!$D$6:$K$1231,1200,#REF!)</f>
        <v>#REF!</v>
      </c>
      <c r="F72" s="10" t="s">
        <v>1160</v>
      </c>
      <c r="I72" s="10" t="e">
        <f>VLOOKUP(1837,Language!$C$6:$K$5262,#REF!+1,FALSE)</f>
        <v>#REF!</v>
      </c>
    </row>
    <row r="73" spans="1:11">
      <c r="E73" s="10" t="e">
        <f>INDEX(Language!$D$6:$K$1231,1201,#REF!)</f>
        <v>#REF!</v>
      </c>
      <c r="I73" s="10" t="e">
        <f>VLOOKUP(1838,Language!$C$6:$K$5262,#REF!+1,FALSE)</f>
        <v>#REF!</v>
      </c>
    </row>
    <row r="74" spans="1:11">
      <c r="E74" s="10" t="e">
        <f>INDEX(Language!$D$6:$K$1231,1202,#REF!)</f>
        <v>#REF!</v>
      </c>
      <c r="K74" s="10" t="e">
        <f>VLOOKUP(1860,Language!$C$6:$K$5262,#REF!+1,FALSE)</f>
        <v>#REF!</v>
      </c>
    </row>
    <row r="75" spans="1:11">
      <c r="E75" s="10" t="e">
        <f>INDEX(Language!$D$6:$K$1231,349,#REF!)</f>
        <v>#REF!</v>
      </c>
      <c r="K75" s="10" t="e">
        <f>VLOOKUP(1861,Language!$C$6:$K$5262,#REF!+1,FALSE)</f>
        <v>#REF!</v>
      </c>
    </row>
    <row r="76" spans="1:11">
      <c r="E76" s="10" t="e">
        <f>INDEX(Language!$D$6:$K$1231,350,#REF!)</f>
        <v>#REF!</v>
      </c>
      <c r="G76" s="184" t="e">
        <f>INDEX(Language!$D$6:$K$1998,1710,#REF!)</f>
        <v>#REF!</v>
      </c>
      <c r="K76" s="10" t="e">
        <f>VLOOKUP(1862,Language!$C$6:$K$5262,#REF!+1,FALSE)</f>
        <v>#REF!</v>
      </c>
    </row>
    <row r="77" spans="1:11">
      <c r="E77" s="10" t="e">
        <f>INDEX(Language!$D$6:$K$1231,351,#REF!)</f>
        <v>#REF!</v>
      </c>
      <c r="G77" s="184" t="e">
        <f>INDEX(Language!$D$6:$K$1998,1711,#REF!)</f>
        <v>#REF!</v>
      </c>
      <c r="K77" s="10" t="e">
        <f>VLOOKUP(1863,Language!$C$6:$K$5262,#REF!+1,FALSE)</f>
        <v>#REF!</v>
      </c>
    </row>
    <row r="78" spans="1:11">
      <c r="E78" s="10" t="e">
        <f>INDEX(Language!$D$6:$K$1231,352,#REF!)</f>
        <v>#REF!</v>
      </c>
      <c r="G78" s="184" t="e">
        <f>INDEX(Language!$D$6:$K$1998,1712,#REF!)</f>
        <v>#REF!</v>
      </c>
      <c r="K78" s="10" t="e">
        <f>VLOOKUP(1864,Language!$C$6:$K$5262,#REF!+1,FALSE)</f>
        <v>#REF!</v>
      </c>
    </row>
    <row r="79" spans="1:11">
      <c r="G79" s="184" t="e">
        <f>INDEX(Language!$D$6:$K$1998,1713,#REF!)</f>
        <v>#REF!</v>
      </c>
      <c r="K79" s="10" t="e">
        <f>VLOOKUP(1865,Language!$C$6:$K$5262,#REF!+1,FALSE)</f>
        <v>#REF!</v>
      </c>
    </row>
    <row r="80" spans="1:11">
      <c r="K80" s="10" t="e">
        <f>VLOOKUP(1866,Language!$C$6:$K$5262,#REF!+1,FALSE)</f>
        <v>#REF!</v>
      </c>
    </row>
    <row r="81" spans="1:11">
      <c r="A81" s="177" t="e">
        <f>VLOOKUP(1229,Language!$C$6:$K$5262,#REF!+1,FALSE)</f>
        <v>#REF!</v>
      </c>
      <c r="E81" s="190" t="e">
        <f>VLOOKUP(492.1,Language!$C$6:$K$5262,#REF!+1,FALSE)</f>
        <v>#REF!</v>
      </c>
      <c r="K81" s="10" t="e">
        <f>VLOOKUP(1867,Language!$C$6:$K$5262,#REF!+1,FALSE)</f>
        <v>#REF!</v>
      </c>
    </row>
    <row r="82" spans="1:11">
      <c r="A82" s="177" t="e">
        <f>VLOOKUP(1230,Language!$C$6:$K$5262,#REF!+1,FALSE)</f>
        <v>#REF!</v>
      </c>
      <c r="E82" s="190" t="e">
        <f>VLOOKUP(492.2,Language!$C$6:$K$5262,#REF!+1,FALSE)</f>
        <v>#REF!</v>
      </c>
      <c r="H82" s="10" t="e">
        <f>VLOOKUP(1869,Language!$C$6:$K$5262,#REF!+1,FALSE)</f>
        <v>#REF!</v>
      </c>
      <c r="K82" s="10" t="e">
        <f>VLOOKUP(1868,Language!$C$6:$K$5262,#REF!+1,FALSE)</f>
        <v>#REF!</v>
      </c>
    </row>
    <row r="83" spans="1:11">
      <c r="A83" s="177" t="e">
        <f>VLOOKUP(1231,Language!$C$6:$K$5262,#REF!+1,FALSE)</f>
        <v>#REF!</v>
      </c>
      <c r="E83" s="190" t="e">
        <f>VLOOKUP(492.3,Language!$C$6:$K$5262,#REF!+1,FALSE)</f>
        <v>#REF!</v>
      </c>
      <c r="H83" s="10" t="e">
        <f>VLOOKUP(1870,Language!$C$6:$K$5262,#REF!+1,FALSE)</f>
        <v>#REF!</v>
      </c>
    </row>
    <row r="84" spans="1:11">
      <c r="E84" s="190" t="e">
        <f>VLOOKUP(492.4,Language!$C$6:$K$5262,#REF!+1,FALSE)</f>
        <v>#REF!</v>
      </c>
    </row>
    <row r="85" spans="1:11">
      <c r="E85" s="190" t="e">
        <f>VLOOKUP(492.5,Language!$C$6:$K$5262,#REF!+1,FALSE)</f>
        <v>#REF!</v>
      </c>
    </row>
    <row r="86" spans="1:11">
      <c r="A86" s="10" t="e">
        <f>VLOOKUP(426.1,Language!$C$6:$K$5262,#REF!+1,FALSE)</f>
        <v>#REF!</v>
      </c>
    </row>
    <row r="87" spans="1:11">
      <c r="A87" s="10" t="e">
        <f>VLOOKUP(426.2,Language!$C$6:$K$5262,#REF!+1,FALSE)</f>
        <v>#REF!</v>
      </c>
    </row>
    <row r="88" spans="1:11">
      <c r="A88" s="10" t="e">
        <f>VLOOKUP(1450,Language!$C$6:$K$5262,#REF!+1,FALSE)</f>
        <v>#REF!</v>
      </c>
    </row>
    <row r="89" spans="1:11">
      <c r="A89" s="10" t="e">
        <f>VLOOKUP(426.3,Language!$C$6:$K$5262,#REF!+1,FALSE)</f>
        <v>#REF!</v>
      </c>
      <c r="F89" s="189"/>
    </row>
    <row r="90" spans="1:11">
      <c r="F90" s="189"/>
    </row>
    <row r="91" spans="1:11">
      <c r="A91" s="177" t="e">
        <f>INDEX(Language!$D$6:$K$1251,1233,#REF!)</f>
        <v>#REF!</v>
      </c>
      <c r="F91" s="189"/>
    </row>
    <row r="92" spans="1:11">
      <c r="A92" s="177" t="e">
        <f>INDEX(Language!$D$6:$K$1251,1234,#REF!)</f>
        <v>#REF!</v>
      </c>
      <c r="F92" s="189"/>
    </row>
    <row r="93" spans="1:11">
      <c r="A93" s="177" t="e">
        <f>INDEX(Language!$D$6:$K$1251,1235,#REF!)</f>
        <v>#REF!</v>
      </c>
      <c r="F93" s="189"/>
    </row>
    <row r="94" spans="1:11">
      <c r="A94" s="177" t="e">
        <f>INDEX(Language!$D$6:$K$1251,1236,#REF!)</f>
        <v>#REF!</v>
      </c>
      <c r="F94" s="189"/>
    </row>
    <row r="95" spans="1:11">
      <c r="A95" s="177" t="e">
        <f>INDEX(Language!$D$6:$K$1251,1237,#REF!)</f>
        <v>#REF!</v>
      </c>
      <c r="F95" s="189"/>
    </row>
    <row r="96" spans="1:11">
      <c r="F96" s="189"/>
    </row>
    <row r="97" spans="1:6" ht="15.75" customHeight="1">
      <c r="F97" s="189"/>
    </row>
    <row r="98" spans="1:6">
      <c r="F98" s="189"/>
    </row>
    <row r="99" spans="1:6">
      <c r="A99" s="10" t="s">
        <v>1161</v>
      </c>
      <c r="F99" s="189"/>
    </row>
    <row r="100" spans="1:6">
      <c r="A100" s="10" t="s">
        <v>1162</v>
      </c>
    </row>
    <row r="101" spans="1:6">
      <c r="A101" s="10" t="s">
        <v>1163</v>
      </c>
    </row>
    <row r="102" spans="1:6">
      <c r="A102" s="10" t="s">
        <v>1164</v>
      </c>
      <c r="E102" s="191" t="e">
        <f>VLOOKUP(493.1,Language!$C$6:$K$5262,#REF!+1,FALSE)</f>
        <v>#REF!</v>
      </c>
    </row>
    <row r="103" spans="1:6">
      <c r="A103" s="10" t="s">
        <v>1165</v>
      </c>
      <c r="E103" s="191" t="e">
        <f>VLOOKUP(493.2,Language!$C$6:$K$5262,#REF!+1,FALSE)</f>
        <v>#REF!</v>
      </c>
    </row>
    <row r="104" spans="1:6">
      <c r="A104" s="10" t="s">
        <v>1166</v>
      </c>
      <c r="E104" s="191" t="e">
        <f>VLOOKUP(493.3,Language!$C$6:$K$5262,#REF!+1,FALSE)</f>
        <v>#REF!</v>
      </c>
    </row>
    <row r="105" spans="1:6">
      <c r="A105" s="10" t="s">
        <v>1167</v>
      </c>
      <c r="E105" s="191" t="e">
        <f>VLOOKUP(493.4,Language!$C$6:$K$5262,#REF!+1,FALSE)</f>
        <v>#REF!</v>
      </c>
    </row>
    <row r="106" spans="1:6">
      <c r="A106" s="10" t="s">
        <v>1168</v>
      </c>
    </row>
    <row r="107" spans="1:6">
      <c r="A107" s="10" t="s">
        <v>1169</v>
      </c>
    </row>
    <row r="108" spans="1:6">
      <c r="A108" s="10" t="s">
        <v>1170</v>
      </c>
    </row>
    <row r="109" spans="1:6">
      <c r="A109" s="10" t="s">
        <v>1171</v>
      </c>
    </row>
    <row r="110" spans="1:6">
      <c r="A110" s="10" t="s">
        <v>1172</v>
      </c>
    </row>
    <row r="111" spans="1:6">
      <c r="A111" s="10" t="s">
        <v>1173</v>
      </c>
    </row>
    <row r="112" spans="1:6">
      <c r="A112" s="10" t="s">
        <v>1174</v>
      </c>
    </row>
    <row r="113" spans="1:38">
      <c r="A113" s="10" t="s">
        <v>1175</v>
      </c>
    </row>
    <row r="114" spans="1:38">
      <c r="A114" s="10" t="s">
        <v>1176</v>
      </c>
    </row>
    <row r="115" spans="1:38">
      <c r="A115" s="10" t="s">
        <v>1177</v>
      </c>
    </row>
    <row r="116" spans="1:38">
      <c r="A116" s="10" t="s">
        <v>1178</v>
      </c>
    </row>
    <row r="117" spans="1:38">
      <c r="A117" s="10" t="s">
        <v>1179</v>
      </c>
    </row>
    <row r="123" spans="1:38">
      <c r="A123" s="10" t="e">
        <f>VLOOKUP(1156.5,Language!$C$6:$K$5262,#REF!+1,FALSE)</f>
        <v>#REF!</v>
      </c>
    </row>
    <row r="124" spans="1:38">
      <c r="A124" s="10" t="e">
        <f>VLOOKUP(1157,Language!$C$6:$K$5262,#REF!+1,FALSE)</f>
        <v>#REF!</v>
      </c>
    </row>
    <row r="125" spans="1:38" ht="13.5" thickBot="1">
      <c r="A125" s="10" t="e">
        <f>VLOOKUP(1158,Language!$C$6:$K$5262,#REF!+1,FALSE)</f>
        <v>#REF!</v>
      </c>
      <c r="D125" s="10" t="s">
        <v>1180</v>
      </c>
    </row>
    <row r="126" spans="1:38" ht="13.5" thickBot="1">
      <c r="A126" s="10" t="e">
        <f>VLOOKUP(1158.5,Language!$C$6:$K$5262,#REF!+1,FALSE)</f>
        <v>#REF!</v>
      </c>
      <c r="D126" s="201" t="e">
        <f>INDEX(Language!$D$6:$K$1231,1111,#REF!)</f>
        <v>#REF!</v>
      </c>
      <c r="E126" s="202" t="e">
        <f>INDEX(Language!$D$6:$K$1231,1112,#REF!)</f>
        <v>#REF!</v>
      </c>
      <c r="F126" s="202" t="e">
        <f>INDEX(Language!$D$6:$K$1231,1113,#REF!)</f>
        <v>#REF!</v>
      </c>
      <c r="G126" s="202" t="e">
        <f>INDEX(Language!$D$6:$K$1231,1114,#REF!)</f>
        <v>#REF!</v>
      </c>
      <c r="H126" s="202" t="e">
        <f>INDEX(Language!$D$6:$K$1231,1115,#REF!)</f>
        <v>#REF!</v>
      </c>
      <c r="I126" s="202" t="e">
        <f>INDEX(Language!$D$6:$K$1231,1116,#REF!)</f>
        <v>#REF!</v>
      </c>
      <c r="J126" s="202" t="e">
        <f>INDEX(Language!$D$6:$K$1231,1117,#REF!)</f>
        <v>#REF!</v>
      </c>
      <c r="K126" s="202" t="e">
        <f>INDEX(Language!$D$6:$K$1231,1118,#REF!)</f>
        <v>#REF!</v>
      </c>
      <c r="L126" s="202" t="e">
        <f>INDEX(Language!$D$6:$K$1231,1119,#REF!)</f>
        <v>#REF!</v>
      </c>
      <c r="M126" s="202" t="e">
        <f>INDEX(Language!$D$6:$K$1231,1120,#REF!)</f>
        <v>#REF!</v>
      </c>
      <c r="N126" s="202" t="e">
        <f>INDEX(Language!$D$6:$K$1231,1121,#REF!)</f>
        <v>#REF!</v>
      </c>
      <c r="O126" s="202" t="e">
        <f>INDEX(Language!$D$6:$K$1231,1122,#REF!)</f>
        <v>#REF!</v>
      </c>
      <c r="P126" s="202" t="e">
        <f>INDEX(Language!$D$6:$K$1231,1123,#REF!)</f>
        <v>#REF!</v>
      </c>
      <c r="Q126" s="202" t="e">
        <f>INDEX(Language!$D$6:$K$1231,1124,#REF!)</f>
        <v>#REF!</v>
      </c>
      <c r="R126" s="202" t="e">
        <f>INDEX(Language!$D$6:$K$1231,1125,#REF!)</f>
        <v>#REF!</v>
      </c>
      <c r="S126" s="202" t="e">
        <f>INDEX(Language!$D$6:$K$1231,1126,#REF!)</f>
        <v>#REF!</v>
      </c>
      <c r="T126" s="202" t="e">
        <f>INDEX(Language!$D$6:$K$1231,1127,#REF!)</f>
        <v>#REF!</v>
      </c>
      <c r="U126" s="202" t="e">
        <f>INDEX(Language!$D$6:$K$1231,1128,#REF!)</f>
        <v>#REF!</v>
      </c>
      <c r="V126" s="202" t="e">
        <f>INDEX(Language!$D$6:$K$1231,1129,#REF!)</f>
        <v>#REF!</v>
      </c>
      <c r="W126" s="202" t="e">
        <f>INDEX(Language!$D$6:$K$1231,1130,#REF!)</f>
        <v>#REF!</v>
      </c>
      <c r="X126" s="202" t="e">
        <f>INDEX(Language!$D$6:$K$1231,1131,#REF!)</f>
        <v>#REF!</v>
      </c>
      <c r="Y126" s="202" t="e">
        <f>INDEX(Language!$D$6:$K$1231,1132,#REF!)</f>
        <v>#REF!</v>
      </c>
      <c r="Z126" s="203" t="e">
        <f>INDEX(Language!$D$6:$K$1231,1133,#REF!)</f>
        <v>#REF!</v>
      </c>
      <c r="AA126" s="274" t="e">
        <f>INDEX(Language!$D$6:$K$1231,1134,#REF!)</f>
        <v>#REF!</v>
      </c>
      <c r="AB126" s="203" t="e">
        <f>INDEX(Language!$D$6:$K$1998,1719,#REF!)</f>
        <v>#REF!</v>
      </c>
      <c r="AC126" s="203" t="e">
        <f>INDEX(Language!$D$6:$K$1998,1718,#REF!)</f>
        <v>#REF!</v>
      </c>
      <c r="AD126" s="203" t="e">
        <f>INDEX(Language!$D$6:$K$1998,1716,#REF!)</f>
        <v>#REF!</v>
      </c>
      <c r="AE126" s="203" t="e">
        <f>INDEX(Language!$D$6:$K$2227,1731,#REF!)</f>
        <v>#REF!</v>
      </c>
      <c r="AF126" s="203" t="e">
        <f>INDEX(Language!$D$6:$K$2227,1730,#REF!)</f>
        <v>#REF!</v>
      </c>
      <c r="AG126" s="203" t="e">
        <f>INDEX(Language!$D$6:$K$2227,1729,#REF!)</f>
        <v>#REF!</v>
      </c>
      <c r="AH126" s="203" t="e">
        <f>INDEX(Language!$D$6:$K$2227,1727,#REF!)</f>
        <v>#REF!</v>
      </c>
      <c r="AI126" s="203" t="e">
        <f>INDEX(Language!$D$6:$K$2227,1733,#REF!)</f>
        <v>#REF!</v>
      </c>
      <c r="AJ126" s="203" t="e">
        <f>INDEX(Language!$D$6:$K$2227,1734,#REF!)</f>
        <v>#REF!</v>
      </c>
      <c r="AK126" s="203" t="e">
        <f>INDEX(Language!$D$6:$K$2227,1735,#REF!)</f>
        <v>#REF!</v>
      </c>
      <c r="AL126" s="203" t="e">
        <f>INDEX(Language!$D$6:$K$2227,1736,#REF!)</f>
        <v>#REF!</v>
      </c>
    </row>
    <row r="127" spans="1:38">
      <c r="A127" s="10" t="e">
        <f>VLOOKUP(1159,Language!$C$6:$K$5262,#REF!+1,FALSE)</f>
        <v>#REF!</v>
      </c>
      <c r="D127" s="199" t="str">
        <f t="shared" ref="D127:D135" si="5">D6</f>
        <v>ACT</v>
      </c>
      <c r="E127" s="199" t="str">
        <f t="shared" ref="E127:Z139" si="6">E6</f>
        <v>Burgenland</v>
      </c>
      <c r="F127" s="199" t="str">
        <f t="shared" si="6"/>
        <v>Brussels Hoofdstedelijk Gewest</v>
      </c>
      <c r="G127" s="199" t="str">
        <f t="shared" si="6"/>
        <v>Canada</v>
      </c>
      <c r="H127" s="199" t="s">
        <v>776</v>
      </c>
      <c r="I127" s="199" t="str">
        <f t="shared" si="6"/>
        <v>Auvergne-Rhône-Alpes</v>
      </c>
      <c r="J127" s="199" t="str">
        <f t="shared" si="6"/>
        <v>Baden-Württemberg</v>
      </c>
      <c r="K127" s="199" t="str">
        <f t="shared" si="6"/>
        <v>Attiki (including Athens)</v>
      </c>
      <c r="L127" s="199" t="str">
        <f t="shared" si="6"/>
        <v>Budapest</v>
      </c>
      <c r="M127" s="323" t="s">
        <v>919</v>
      </c>
      <c r="N127" s="199" t="str">
        <f t="shared" si="6"/>
        <v>ABRUZZO</v>
      </c>
      <c r="O127" s="199" t="str">
        <f t="shared" si="6"/>
        <v>Japan</v>
      </c>
      <c r="P127" s="199" t="s">
        <v>783</v>
      </c>
      <c r="Q127" s="199" t="str">
        <f>Q6</f>
        <v>Viken</v>
      </c>
      <c r="R127" s="199" t="str">
        <f t="shared" si="6"/>
        <v>Dolnoslaskie</v>
      </c>
      <c r="S127" s="199" t="str">
        <f t="shared" si="6"/>
        <v>Lisbon city</v>
      </c>
      <c r="T127" s="199" t="str">
        <f t="shared" si="6"/>
        <v>Uusimaa</v>
      </c>
      <c r="U127" s="199" t="str">
        <f t="shared" si="6"/>
        <v>Andalucia</v>
      </c>
      <c r="V127" s="199" t="str">
        <f t="shared" si="6"/>
        <v>Stor-Göteborg</v>
      </c>
      <c r="W127" s="199" t="str">
        <f t="shared" si="6"/>
        <v>Lake Geneva Area</v>
      </c>
      <c r="X127" s="199" t="str">
        <f t="shared" si="6"/>
        <v>North</v>
      </c>
      <c r="Y127" s="199" t="str">
        <f t="shared" si="6"/>
        <v>Capital Area</v>
      </c>
      <c r="Z127" s="199" t="e">
        <f t="shared" si="6"/>
        <v>#REF!</v>
      </c>
      <c r="AA127" s="275" t="str">
        <f t="shared" ref="AA127:AA141" si="7">AA6</f>
        <v>Prague-East &amp; Prague-West</v>
      </c>
      <c r="AB127" s="275" t="s">
        <v>794</v>
      </c>
      <c r="AC127" s="275" t="s">
        <v>795</v>
      </c>
      <c r="AD127" s="275" t="s">
        <v>796</v>
      </c>
      <c r="AE127" s="275" t="s">
        <v>797</v>
      </c>
      <c r="AF127" s="275" t="s">
        <v>799</v>
      </c>
      <c r="AG127" s="275" t="s">
        <v>798</v>
      </c>
      <c r="AH127" s="275" t="s">
        <v>1181</v>
      </c>
      <c r="AI127" s="275" t="s">
        <v>800</v>
      </c>
      <c r="AJ127" s="275" t="s">
        <v>802</v>
      </c>
      <c r="AK127" s="275" t="s">
        <v>803</v>
      </c>
      <c r="AL127" s="275" t="s">
        <v>804</v>
      </c>
    </row>
    <row r="128" spans="1:38">
      <c r="A128" s="10" t="e">
        <f>VLOOKUP(1160,Language!$C$6:$K$5262,#REF!+1,FALSE)</f>
        <v>#REF!</v>
      </c>
      <c r="D128" s="199" t="str">
        <f t="shared" si="5"/>
        <v>NSW</v>
      </c>
      <c r="E128" s="199" t="str">
        <f t="shared" ref="E128:S128" si="8">E7</f>
        <v>Kärnten</v>
      </c>
      <c r="F128" s="199" t="str">
        <f t="shared" si="8"/>
        <v>Vlaams Gewest</v>
      </c>
      <c r="G128" s="199" t="e">
        <f t="shared" si="8"/>
        <v>#REF!</v>
      </c>
      <c r="H128" s="199" t="s">
        <v>807</v>
      </c>
      <c r="I128" s="199" t="str">
        <f t="shared" si="8"/>
        <v>Bourgogne-Franche-Comté</v>
      </c>
      <c r="J128" s="199" t="str">
        <f t="shared" si="8"/>
        <v>Bayern</v>
      </c>
      <c r="K128" s="199" t="str">
        <f t="shared" si="8"/>
        <v>Central Greece (exl Attiki)</v>
      </c>
      <c r="L128" s="199" t="str">
        <f t="shared" si="8"/>
        <v>Bács-Kiskun</v>
      </c>
      <c r="M128" s="323" t="s">
        <v>1182</v>
      </c>
      <c r="N128" s="199" t="str">
        <f t="shared" si="8"/>
        <v>BASILICATA</v>
      </c>
      <c r="O128" s="199" t="e">
        <f t="shared" si="8"/>
        <v>#REF!</v>
      </c>
      <c r="P128" s="199" t="s">
        <v>968</v>
      </c>
      <c r="Q128" s="199" t="str">
        <f t="shared" si="8"/>
        <v>Agder</v>
      </c>
      <c r="R128" s="199" t="str">
        <f t="shared" si="8"/>
        <v>Kujawsko-Pomorskie</v>
      </c>
      <c r="S128" s="199" t="str">
        <f t="shared" si="8"/>
        <v>Lisbon region</v>
      </c>
      <c r="T128" s="199" t="str">
        <f t="shared" si="6"/>
        <v>Itä-Uusimaa</v>
      </c>
      <c r="U128" s="199" t="str">
        <f t="shared" si="6"/>
        <v>Aragon</v>
      </c>
      <c r="V128" s="199" t="str">
        <f t="shared" si="6"/>
        <v>Stor-Malmö</v>
      </c>
      <c r="W128" s="199" t="str">
        <f t="shared" si="6"/>
        <v>W. Switzerland</v>
      </c>
      <c r="X128" s="199" t="str">
        <f t="shared" si="6"/>
        <v>Yorks / Humb</v>
      </c>
      <c r="Y128" s="199" t="str">
        <f t="shared" si="6"/>
        <v>Reykjanes/Suðurnes</v>
      </c>
      <c r="Z128" s="199"/>
      <c r="AA128" s="275" t="str">
        <f t="shared" si="7"/>
        <v>Středočeský kraj excl. Prague -East &amp; Prague-West</v>
      </c>
      <c r="AB128" s="275" t="s">
        <v>825</v>
      </c>
      <c r="AC128" s="275" t="s">
        <v>826</v>
      </c>
      <c r="AD128" s="275" t="s">
        <v>827</v>
      </c>
      <c r="AE128" s="275" t="s">
        <v>828</v>
      </c>
      <c r="AF128" s="275" t="s">
        <v>830</v>
      </c>
      <c r="AG128" s="275" t="s">
        <v>829</v>
      </c>
      <c r="AH128" s="275" t="s">
        <v>1183</v>
      </c>
      <c r="AI128" s="275" t="s">
        <v>831</v>
      </c>
      <c r="AJ128" s="275" t="s">
        <v>833</v>
      </c>
      <c r="AK128" s="275" t="s">
        <v>834</v>
      </c>
      <c r="AL128" s="275" t="s">
        <v>835</v>
      </c>
    </row>
    <row r="129" spans="1:38">
      <c r="A129" s="10" t="e">
        <f>VLOOKUP(1160.5,Language!$C$6:$K$5262,#REF!+1,FALSE)</f>
        <v>#REF!</v>
      </c>
      <c r="D129" s="199" t="str">
        <f t="shared" si="5"/>
        <v>NT</v>
      </c>
      <c r="E129" s="199" t="str">
        <f t="shared" si="6"/>
        <v>Niederösterreich</v>
      </c>
      <c r="F129" s="199" t="str">
        <f t="shared" si="6"/>
        <v>Waals Gewest</v>
      </c>
      <c r="G129" s="199"/>
      <c r="H129" s="199" t="s">
        <v>839</v>
      </c>
      <c r="I129" s="199" t="str">
        <f t="shared" si="6"/>
        <v>Bretagne</v>
      </c>
      <c r="J129" s="199" t="str">
        <f t="shared" si="6"/>
        <v>Berlin</v>
      </c>
      <c r="K129" s="199" t="str">
        <f t="shared" si="6"/>
        <v>Peloponissos</v>
      </c>
      <c r="L129" s="199" t="str">
        <f t="shared" si="6"/>
        <v>Baranya</v>
      </c>
      <c r="M129" s="323" t="s">
        <v>1184</v>
      </c>
      <c r="N129" s="199" t="str">
        <f t="shared" si="6"/>
        <v>CALABRIA</v>
      </c>
      <c r="O129" s="199"/>
      <c r="P129" s="199" t="s">
        <v>814</v>
      </c>
      <c r="Q129" s="199" t="str">
        <f t="shared" si="6"/>
        <v>Troms og Finnmark</v>
      </c>
      <c r="R129" s="199" t="str">
        <f t="shared" si="6"/>
        <v>Lodzkie</v>
      </c>
      <c r="S129" s="199" t="str">
        <f t="shared" si="6"/>
        <v>Coimbra area</v>
      </c>
      <c r="T129" s="199" t="str">
        <f t="shared" si="6"/>
        <v>Varsinais-Suomi</v>
      </c>
      <c r="U129" s="199" t="str">
        <f t="shared" si="6"/>
        <v>Asturias</v>
      </c>
      <c r="V129" s="199" t="str">
        <f t="shared" si="6"/>
        <v>Stockholms län</v>
      </c>
      <c r="W129" s="199" t="str">
        <f t="shared" si="6"/>
        <v>Berne</v>
      </c>
      <c r="X129" s="199" t="str">
        <f t="shared" si="6"/>
        <v>North West</v>
      </c>
      <c r="Y129" s="199" t="str">
        <f t="shared" si="6"/>
        <v>Vesturland</v>
      </c>
      <c r="Z129" s="199"/>
      <c r="AA129" s="275" t="str">
        <f t="shared" si="7"/>
        <v>Jihočeský kraj</v>
      </c>
      <c r="AB129" s="275" t="s">
        <v>857</v>
      </c>
      <c r="AC129" s="275" t="s">
        <v>858</v>
      </c>
      <c r="AD129" s="275" t="str">
        <f>"No data"&amp;"_"&amp;AD$5</f>
        <v>No data_Singapore</v>
      </c>
      <c r="AE129" s="275" t="s">
        <v>859</v>
      </c>
      <c r="AF129" s="275" t="s">
        <v>861</v>
      </c>
      <c r="AG129" s="275" t="s">
        <v>860</v>
      </c>
      <c r="AH129" s="275"/>
      <c r="AI129" s="275" t="s">
        <v>862</v>
      </c>
      <c r="AJ129" s="275" t="s">
        <v>1185</v>
      </c>
      <c r="AK129" s="275" t="s">
        <v>1186</v>
      </c>
      <c r="AL129" s="275" t="s">
        <v>1187</v>
      </c>
    </row>
    <row r="130" spans="1:38">
      <c r="A130" s="10" t="e">
        <f>VLOOKUP(1161,Language!$C$6:$K$5262,#REF!+1,FALSE)</f>
        <v>#REF!</v>
      </c>
      <c r="D130" s="199" t="str">
        <f t="shared" si="5"/>
        <v>QLD</v>
      </c>
      <c r="E130" s="199" t="str">
        <f t="shared" si="6"/>
        <v>Oberösterreich</v>
      </c>
      <c r="F130" s="199" t="e">
        <f t="shared" si="6"/>
        <v>#REF!</v>
      </c>
      <c r="G130" s="199"/>
      <c r="H130" s="199" t="s">
        <v>866</v>
      </c>
      <c r="I130" s="199" t="str">
        <f t="shared" si="6"/>
        <v>Centre-Val de Loire</v>
      </c>
      <c r="J130" s="199" t="str">
        <f t="shared" si="6"/>
        <v>Brandenburg</v>
      </c>
      <c r="K130" s="199" t="str">
        <f t="shared" si="6"/>
        <v>Ionian Islands</v>
      </c>
      <c r="L130" s="199" t="str">
        <f t="shared" si="6"/>
        <v>Békés</v>
      </c>
      <c r="M130" s="199"/>
      <c r="N130" s="199" t="str">
        <f t="shared" si="6"/>
        <v>CAMPANIA</v>
      </c>
      <c r="O130" s="199"/>
      <c r="P130" s="199" t="s">
        <v>897</v>
      </c>
      <c r="Q130" s="199" t="str">
        <f t="shared" si="6"/>
        <v>Innlandet</v>
      </c>
      <c r="R130" s="199" t="str">
        <f t="shared" si="6"/>
        <v>Lubelskie</v>
      </c>
      <c r="S130" s="199" t="str">
        <f t="shared" si="6"/>
        <v>Porto area</v>
      </c>
      <c r="T130" s="199" t="str">
        <f t="shared" si="6"/>
        <v>Satakunta</v>
      </c>
      <c r="U130" s="199" t="str">
        <f t="shared" si="6"/>
        <v>Baleares</v>
      </c>
      <c r="V130" s="199" t="str">
        <f t="shared" si="6"/>
        <v>Östra mellansverige</v>
      </c>
      <c r="W130" s="199" t="str">
        <f t="shared" si="6"/>
        <v>N.W. Switzerland</v>
      </c>
      <c r="X130" s="199" t="str">
        <f t="shared" si="6"/>
        <v>E Mid</v>
      </c>
      <c r="Y130" s="199" t="str">
        <f t="shared" si="6"/>
        <v>Vestfirðir</v>
      </c>
      <c r="Z130" s="199"/>
      <c r="AA130" s="275" t="str">
        <f t="shared" si="7"/>
        <v>Plzeňský kraj</v>
      </c>
      <c r="AB130" s="275" t="str">
        <f>"No data"&amp;"_"&amp;AB$5</f>
        <v>No data_New Zealand</v>
      </c>
      <c r="AC130" s="275" t="s">
        <v>884</v>
      </c>
      <c r="AD130" s="275"/>
      <c r="AE130" s="275" t="s">
        <v>885</v>
      </c>
      <c r="AF130" s="275" t="s">
        <v>887</v>
      </c>
      <c r="AG130" s="275" t="s">
        <v>886</v>
      </c>
      <c r="AH130" s="275"/>
      <c r="AI130" s="275" t="s">
        <v>888</v>
      </c>
      <c r="AJ130" s="275"/>
      <c r="AK130" s="275"/>
      <c r="AL130" s="275"/>
    </row>
    <row r="131" spans="1:38">
      <c r="A131" s="10" t="e">
        <f>VLOOKUP(1162,Language!$C$6:$K$5262,#REF!+1,FALSE)</f>
        <v>#REF!</v>
      </c>
      <c r="D131" s="199" t="str">
        <f t="shared" si="5"/>
        <v>SA</v>
      </c>
      <c r="E131" s="199" t="str">
        <f t="shared" si="6"/>
        <v>Salzburg</v>
      </c>
      <c r="F131" s="199"/>
      <c r="G131" s="199"/>
      <c r="H131" s="199" t="s">
        <v>890</v>
      </c>
      <c r="I131" s="199" t="str">
        <f t="shared" si="6"/>
        <v>Corse</v>
      </c>
      <c r="J131" s="199" t="str">
        <f t="shared" si="6"/>
        <v>Bremen</v>
      </c>
      <c r="K131" s="199" t="str">
        <f t="shared" si="6"/>
        <v>Ipiros</v>
      </c>
      <c r="L131" s="199" t="str">
        <f t="shared" si="6"/>
        <v>Borsod-Abaúj-Zemplén</v>
      </c>
      <c r="M131" s="199"/>
      <c r="N131" s="199" t="str">
        <f t="shared" si="6"/>
        <v>EMILIA ROMAGNA</v>
      </c>
      <c r="O131" s="199"/>
      <c r="P131" s="199" t="s">
        <v>846</v>
      </c>
      <c r="Q131" s="199" t="str">
        <f t="shared" si="6"/>
        <v>Vestland</v>
      </c>
      <c r="R131" s="199" t="str">
        <f t="shared" si="6"/>
        <v>Lubuskie</v>
      </c>
      <c r="S131" s="199" t="str">
        <f t="shared" si="6"/>
        <v>North inland regions</v>
      </c>
      <c r="T131" s="199" t="str">
        <f t="shared" si="6"/>
        <v>Kanta-Häme</v>
      </c>
      <c r="U131" s="199" t="str">
        <f t="shared" si="6"/>
        <v>Canarias</v>
      </c>
      <c r="V131" s="199" t="str">
        <f t="shared" si="6"/>
        <v>Småland med öarna</v>
      </c>
      <c r="W131" s="199" t="str">
        <f t="shared" si="6"/>
        <v>Central Switzerland</v>
      </c>
      <c r="X131" s="199" t="str">
        <f t="shared" si="6"/>
        <v>W Mid</v>
      </c>
      <c r="Y131" s="199" t="str">
        <f t="shared" si="6"/>
        <v>Norðurland-V</v>
      </c>
      <c r="Z131" s="199"/>
      <c r="AA131" s="275" t="str">
        <f t="shared" si="7"/>
        <v>Karlovarský kraj</v>
      </c>
      <c r="AB131" s="275"/>
      <c r="AC131" s="275" t="s">
        <v>908</v>
      </c>
      <c r="AD131" s="275"/>
      <c r="AE131" s="275" t="s">
        <v>909</v>
      </c>
      <c r="AF131" s="275" t="s">
        <v>911</v>
      </c>
      <c r="AG131" s="275" t="s">
        <v>910</v>
      </c>
      <c r="AH131" s="275"/>
      <c r="AI131" s="275" t="s">
        <v>912</v>
      </c>
      <c r="AJ131" s="275"/>
      <c r="AK131" s="275"/>
      <c r="AL131" s="275"/>
    </row>
    <row r="132" spans="1:38">
      <c r="A132" s="10" t="e">
        <f>VLOOKUP(1163,Language!$C$6:$K$5262,#REF!+1,FALSE)</f>
        <v>#REF!</v>
      </c>
      <c r="D132" s="199" t="str">
        <f t="shared" si="5"/>
        <v>TAS</v>
      </c>
      <c r="E132" s="199" t="str">
        <f t="shared" si="6"/>
        <v>Steiermark</v>
      </c>
      <c r="F132" s="199"/>
      <c r="G132" s="199"/>
      <c r="H132" s="199" t="s">
        <v>914</v>
      </c>
      <c r="I132" s="199" t="str">
        <f t="shared" si="6"/>
        <v>Grand Est</v>
      </c>
      <c r="J132" s="199" t="str">
        <f t="shared" si="6"/>
        <v>Hamburg</v>
      </c>
      <c r="K132" s="199" t="str">
        <f t="shared" si="6"/>
        <v>Thessalia</v>
      </c>
      <c r="L132" s="199" t="str">
        <f t="shared" si="6"/>
        <v>Csongrád</v>
      </c>
      <c r="M132" s="199"/>
      <c r="N132" s="199" t="str">
        <f t="shared" si="6"/>
        <v>FRIULI VENEZIA GIULIA</v>
      </c>
      <c r="O132" s="199"/>
      <c r="P132" s="199" t="s">
        <v>945</v>
      </c>
      <c r="Q132" s="199" t="str">
        <f t="shared" si="6"/>
        <v>Møre og Romsdal</v>
      </c>
      <c r="R132" s="199" t="str">
        <f t="shared" si="6"/>
        <v>Malopolskie</v>
      </c>
      <c r="S132" s="199" t="str">
        <f t="shared" si="6"/>
        <v>Central inland regions</v>
      </c>
      <c r="T132" s="199" t="str">
        <f t="shared" si="6"/>
        <v>Pirkanmaa</v>
      </c>
      <c r="U132" s="199" t="str">
        <f t="shared" si="6"/>
        <v>Cantabria</v>
      </c>
      <c r="V132" s="199" t="str">
        <f t="shared" si="6"/>
        <v>Sydsverige</v>
      </c>
      <c r="W132" s="199" t="str">
        <f t="shared" si="6"/>
        <v>S. Switzerland</v>
      </c>
      <c r="X132" s="199" t="str">
        <f t="shared" si="6"/>
        <v>E Anglia</v>
      </c>
      <c r="Y132" s="199" t="str">
        <f t="shared" si="6"/>
        <v>Norðurland-E</v>
      </c>
      <c r="Z132" s="199"/>
      <c r="AA132" s="275" t="str">
        <f t="shared" si="7"/>
        <v>Ústecký kraj</v>
      </c>
      <c r="AB132" s="275"/>
      <c r="AC132" s="275" t="s">
        <v>932</v>
      </c>
      <c r="AD132" s="275"/>
      <c r="AE132" s="275" t="s">
        <v>933</v>
      </c>
      <c r="AF132" s="275" t="s">
        <v>935</v>
      </c>
      <c r="AG132" s="275" t="s">
        <v>934</v>
      </c>
      <c r="AH132" s="275"/>
      <c r="AI132" s="275" t="s">
        <v>936</v>
      </c>
      <c r="AJ132" s="275"/>
      <c r="AK132" s="275"/>
      <c r="AL132" s="275"/>
    </row>
    <row r="133" spans="1:38">
      <c r="A133" s="10" t="e">
        <f>VLOOKUP(1163.5,Language!$C$6:$K$5262,#REF!+1,FALSE)</f>
        <v>#REF!</v>
      </c>
      <c r="D133" s="199" t="str">
        <f t="shared" si="5"/>
        <v>VIC</v>
      </c>
      <c r="E133" s="199" t="str">
        <f t="shared" si="6"/>
        <v>Tirol</v>
      </c>
      <c r="F133" s="199"/>
      <c r="G133" s="199"/>
      <c r="H133" s="199" t="s">
        <v>938</v>
      </c>
      <c r="I133" s="199" t="str">
        <f t="shared" si="6"/>
        <v>Hauts-de-France</v>
      </c>
      <c r="J133" s="199" t="str">
        <f t="shared" si="6"/>
        <v>Hessen</v>
      </c>
      <c r="K133" s="199" t="str">
        <f t="shared" si="6"/>
        <v>Makedonia</v>
      </c>
      <c r="L133" s="199" t="str">
        <f t="shared" si="6"/>
        <v>Fejér</v>
      </c>
      <c r="M133" s="199"/>
      <c r="N133" s="199" t="str">
        <f t="shared" si="6"/>
        <v>LAZIO</v>
      </c>
      <c r="O133" s="199"/>
      <c r="P133" s="199" t="s">
        <v>921</v>
      </c>
      <c r="Q133" s="199" t="str">
        <f t="shared" si="6"/>
        <v>Nordland</v>
      </c>
      <c r="R133" s="199" t="str">
        <f t="shared" si="6"/>
        <v>Mazowieckie</v>
      </c>
      <c r="S133" s="199" t="str">
        <f t="shared" si="6"/>
        <v>Alentejo</v>
      </c>
      <c r="T133" s="199" t="str">
        <f t="shared" si="6"/>
        <v>Päijät-Häme</v>
      </c>
      <c r="U133" s="199" t="str">
        <f t="shared" si="6"/>
        <v>Castilla Leon</v>
      </c>
      <c r="V133" s="199" t="str">
        <f t="shared" si="6"/>
        <v>Västsverige</v>
      </c>
      <c r="W133" s="199" t="str">
        <f t="shared" si="6"/>
        <v>E. Switzerland</v>
      </c>
      <c r="X133" s="199" t="str">
        <f t="shared" si="6"/>
        <v>South West</v>
      </c>
      <c r="Y133" s="199" t="str">
        <f t="shared" si="6"/>
        <v>Austurland</v>
      </c>
      <c r="Z133" s="199"/>
      <c r="AA133" s="275" t="str">
        <f t="shared" si="7"/>
        <v>Liberecký kraj</v>
      </c>
      <c r="AB133" s="275"/>
      <c r="AC133" s="275" t="s">
        <v>956</v>
      </c>
      <c r="AD133" s="275"/>
      <c r="AE133" s="275" t="s">
        <v>957</v>
      </c>
      <c r="AF133" s="275" t="s">
        <v>959</v>
      </c>
      <c r="AG133" s="275" t="s">
        <v>958</v>
      </c>
      <c r="AH133" s="275"/>
      <c r="AI133" s="275" t="s">
        <v>960</v>
      </c>
      <c r="AJ133" s="275"/>
      <c r="AK133" s="275"/>
      <c r="AL133" s="275"/>
    </row>
    <row r="134" spans="1:38">
      <c r="A134" s="10" t="e">
        <f>VLOOKUP(1164,Language!$C$6:$K$5262,#REF!+1,FALSE)</f>
        <v>#REF!</v>
      </c>
      <c r="D134" s="199" t="str">
        <f t="shared" si="5"/>
        <v>WA</v>
      </c>
      <c r="E134" s="199" t="str">
        <f t="shared" si="6"/>
        <v>Vorarlberg</v>
      </c>
      <c r="F134" s="199"/>
      <c r="G134" s="199"/>
      <c r="H134" s="199"/>
      <c r="I134" s="199" t="str">
        <f t="shared" si="6"/>
        <v>Île-de-France</v>
      </c>
      <c r="J134" s="199" t="str">
        <f t="shared" si="6"/>
        <v>Mecklenburg-Vorpommern</v>
      </c>
      <c r="K134" s="199" t="str">
        <f t="shared" si="6"/>
        <v>Thraki</v>
      </c>
      <c r="L134" s="199" t="str">
        <f t="shared" si="6"/>
        <v>Győr-Moson-Sopron</v>
      </c>
      <c r="M134" s="199"/>
      <c r="N134" s="199" t="str">
        <f t="shared" si="6"/>
        <v>LIGURIA</v>
      </c>
      <c r="O134" s="199"/>
      <c r="P134" s="199" t="s">
        <v>1011</v>
      </c>
      <c r="Q134" s="199" t="str">
        <f t="shared" si="6"/>
        <v>Trøndelag</v>
      </c>
      <c r="R134" s="199" t="str">
        <f t="shared" si="6"/>
        <v>Opolskie</v>
      </c>
      <c r="S134" s="199" t="str">
        <f t="shared" si="6"/>
        <v>Algarve</v>
      </c>
      <c r="T134" s="199" t="str">
        <f t="shared" si="6"/>
        <v>Kymenlaakso</v>
      </c>
      <c r="U134" s="199" t="str">
        <f t="shared" si="6"/>
        <v>Catilla-La Mancha</v>
      </c>
      <c r="V134" s="199" t="str">
        <f t="shared" si="6"/>
        <v>Norra mellansverige</v>
      </c>
      <c r="W134" s="199" t="str">
        <f t="shared" si="6"/>
        <v>Zurich</v>
      </c>
      <c r="X134" s="199" t="str">
        <f t="shared" si="6"/>
        <v>South East</v>
      </c>
      <c r="Y134" s="199" t="str">
        <f t="shared" si="6"/>
        <v>Suðurland</v>
      </c>
      <c r="Z134" s="199"/>
      <c r="AA134" s="275" t="str">
        <f t="shared" si="7"/>
        <v>Královéhradecký kraj</v>
      </c>
      <c r="AB134" s="275"/>
      <c r="AC134" s="275" t="s">
        <v>979</v>
      </c>
      <c r="AD134" s="275"/>
      <c r="AE134" s="275" t="s">
        <v>980</v>
      </c>
      <c r="AF134" s="275" t="s">
        <v>982</v>
      </c>
      <c r="AG134" s="275" t="s">
        <v>981</v>
      </c>
      <c r="AH134" s="275"/>
      <c r="AI134" s="275" t="s">
        <v>983</v>
      </c>
      <c r="AJ134" s="275"/>
      <c r="AK134" s="275"/>
      <c r="AL134" s="275"/>
    </row>
    <row r="135" spans="1:38">
      <c r="A135" s="10" t="e">
        <f>VLOOKUP(1165,Language!$C$6:$K$5262,#REF!+1,FALSE)</f>
        <v>#REF!</v>
      </c>
      <c r="D135" s="199" t="e">
        <f t="shared" si="5"/>
        <v>#REF!</v>
      </c>
      <c r="E135" s="199" t="str">
        <f t="shared" si="6"/>
        <v>Wien</v>
      </c>
      <c r="F135" s="199"/>
      <c r="G135" s="199"/>
      <c r="H135" s="199"/>
      <c r="I135" s="199" t="str">
        <f t="shared" si="6"/>
        <v>Normandie</v>
      </c>
      <c r="J135" s="199" t="str">
        <f t="shared" si="6"/>
        <v>Niedersachsen</v>
      </c>
      <c r="K135" s="199" t="str">
        <f t="shared" si="6"/>
        <v>Aegean Islands</v>
      </c>
      <c r="L135" s="199" t="str">
        <f t="shared" si="6"/>
        <v>Hajdú-Bihar</v>
      </c>
      <c r="M135" s="199"/>
      <c r="N135" s="199" t="str">
        <f t="shared" si="6"/>
        <v>LOMBARDIA</v>
      </c>
      <c r="O135" s="199"/>
      <c r="P135" s="199" t="s">
        <v>873</v>
      </c>
      <c r="Q135" s="199" t="str">
        <f t="shared" si="6"/>
        <v>Oslo</v>
      </c>
      <c r="R135" s="199" t="str">
        <f t="shared" si="6"/>
        <v>Podkarpackie</v>
      </c>
      <c r="S135" s="199" t="str">
        <f t="shared" si="6"/>
        <v>Acores/Madeira</v>
      </c>
      <c r="T135" s="199" t="str">
        <f t="shared" si="6"/>
        <v>South Karelia</v>
      </c>
      <c r="U135" s="199" t="str">
        <f t="shared" si="6"/>
        <v>Cataluna</v>
      </c>
      <c r="V135" s="199" t="str">
        <f t="shared" si="6"/>
        <v>Mellersta Norrland</v>
      </c>
      <c r="W135" s="199" t="e">
        <f t="shared" si="6"/>
        <v>#REF!</v>
      </c>
      <c r="X135" s="199" t="str">
        <f t="shared" si="6"/>
        <v>London</v>
      </c>
      <c r="Y135" s="199" t="str">
        <f t="shared" si="6"/>
        <v>Reykjavík</v>
      </c>
      <c r="Z135" s="199"/>
      <c r="AA135" s="275" t="str">
        <f t="shared" si="7"/>
        <v>Pardubický kraj</v>
      </c>
      <c r="AB135" s="275"/>
      <c r="AC135" s="275" t="s">
        <v>1001</v>
      </c>
      <c r="AD135" s="275"/>
      <c r="AE135" s="320" t="s">
        <v>1188</v>
      </c>
      <c r="AF135" s="320" t="s">
        <v>1002</v>
      </c>
      <c r="AG135" s="320" t="s">
        <v>1189</v>
      </c>
      <c r="AH135" s="320"/>
      <c r="AI135" s="320" t="s">
        <v>1003</v>
      </c>
      <c r="AJ135" s="320"/>
      <c r="AK135" s="320"/>
      <c r="AL135" s="320"/>
    </row>
    <row r="136" spans="1:38">
      <c r="A136" s="10" t="e">
        <f>VLOOKUP(1166,Language!$C$6:$K$5262,#REF!+1,FALSE)</f>
        <v>#REF!</v>
      </c>
      <c r="D136" s="199"/>
      <c r="E136" s="199" t="e">
        <f t="shared" si="6"/>
        <v>#REF!</v>
      </c>
      <c r="F136" s="199"/>
      <c r="G136" s="199"/>
      <c r="H136" s="199"/>
      <c r="I136" s="199" t="str">
        <f t="shared" si="6"/>
        <v>Nouvelle-Aquitaine</v>
      </c>
      <c r="J136" s="199" t="str">
        <f t="shared" si="6"/>
        <v>Nordrhein-Westfalen</v>
      </c>
      <c r="K136" s="199" t="str">
        <f t="shared" si="6"/>
        <v>Crete</v>
      </c>
      <c r="L136" s="199" t="str">
        <f t="shared" si="6"/>
        <v>Heves</v>
      </c>
      <c r="M136" s="199"/>
      <c r="N136" s="199" t="str">
        <f t="shared" si="6"/>
        <v>MARCHE</v>
      </c>
      <c r="O136" s="199"/>
      <c r="P136" s="199" t="s">
        <v>991</v>
      </c>
      <c r="Q136" s="199" t="str">
        <f t="shared" si="6"/>
        <v>Rogaland</v>
      </c>
      <c r="R136" s="199" t="str">
        <f t="shared" si="6"/>
        <v>Podlaskie</v>
      </c>
      <c r="S136" s="199" t="e">
        <f t="shared" si="6"/>
        <v>#REF!</v>
      </c>
      <c r="T136" s="199" t="str">
        <f t="shared" si="6"/>
        <v>Etelä-Savo</v>
      </c>
      <c r="U136" s="199" t="str">
        <f t="shared" si="6"/>
        <v>Madrid</v>
      </c>
      <c r="V136" s="199" t="str">
        <f t="shared" si="6"/>
        <v>Övre Norrland</v>
      </c>
      <c r="W136" s="199"/>
      <c r="X136" s="199" t="str">
        <f t="shared" si="6"/>
        <v>Wales</v>
      </c>
      <c r="Y136" s="199" t="str">
        <f t="shared" si="6"/>
        <v>Kópavogur</v>
      </c>
      <c r="Z136" s="199"/>
      <c r="AA136" s="275" t="str">
        <f t="shared" si="7"/>
        <v>Kraj Vysočina</v>
      </c>
      <c r="AB136" s="275"/>
      <c r="AC136" s="275" t="s">
        <v>1020</v>
      </c>
      <c r="AD136" s="275"/>
      <c r="AE136" s="275"/>
      <c r="AF136" s="275" t="s">
        <v>1021</v>
      </c>
      <c r="AG136" s="275"/>
      <c r="AH136" s="275"/>
      <c r="AI136" s="275" t="s">
        <v>1022</v>
      </c>
      <c r="AJ136" s="275"/>
      <c r="AK136" s="275"/>
      <c r="AL136" s="275"/>
    </row>
    <row r="137" spans="1:38">
      <c r="A137" s="10" t="e">
        <f>VLOOKUP(1167,Language!$C$6:$K$5262,#REF!+1,FALSE)</f>
        <v>#REF!</v>
      </c>
      <c r="D137" s="199"/>
      <c r="E137" s="199"/>
      <c r="F137" s="199"/>
      <c r="G137" s="199"/>
      <c r="H137" s="199"/>
      <c r="I137" s="199" t="str">
        <f t="shared" si="6"/>
        <v>Occitanie</v>
      </c>
      <c r="J137" s="199" t="str">
        <f t="shared" si="6"/>
        <v>Rheinland-Pfalz</v>
      </c>
      <c r="K137" s="199" t="e">
        <f t="shared" si="6"/>
        <v>#REF!</v>
      </c>
      <c r="L137" s="199" t="str">
        <f t="shared" si="6"/>
        <v>Jász-Nagykun-Szolnok</v>
      </c>
      <c r="M137" s="199"/>
      <c r="N137" s="199" t="str">
        <f t="shared" si="6"/>
        <v>MOLISE</v>
      </c>
      <c r="O137" s="199"/>
      <c r="P137" s="199" t="s">
        <v>1045</v>
      </c>
      <c r="Q137" s="199" t="str">
        <f t="shared" si="6"/>
        <v>Vestfold og Telemark</v>
      </c>
      <c r="R137" s="199" t="str">
        <f t="shared" si="6"/>
        <v>Pomorskie</v>
      </c>
      <c r="S137" s="199"/>
      <c r="T137" s="199" t="str">
        <f t="shared" si="6"/>
        <v>Pohjois-Savo</v>
      </c>
      <c r="U137" s="199" t="str">
        <f t="shared" si="6"/>
        <v>Murcia</v>
      </c>
      <c r="V137" s="199" t="e">
        <f t="shared" si="6"/>
        <v>#REF!</v>
      </c>
      <c r="W137" s="199"/>
      <c r="X137" s="199" t="str">
        <f t="shared" si="6"/>
        <v>Scotland</v>
      </c>
      <c r="Y137" s="199" t="str">
        <f t="shared" si="6"/>
        <v>Seltjarnarnes</v>
      </c>
      <c r="Z137" s="199"/>
      <c r="AA137" s="275" t="str">
        <f t="shared" si="7"/>
        <v>Jihomoravský kraj</v>
      </c>
      <c r="AB137" s="275"/>
      <c r="AC137" s="275" t="s">
        <v>1037</v>
      </c>
      <c r="AD137" s="275"/>
      <c r="AE137" s="275"/>
      <c r="AF137" s="275" t="s">
        <v>1038</v>
      </c>
      <c r="AG137" s="275"/>
      <c r="AH137" s="275"/>
      <c r="AI137" s="275" t="s">
        <v>1039</v>
      </c>
      <c r="AJ137" s="275"/>
      <c r="AK137" s="275"/>
      <c r="AL137" s="275"/>
    </row>
    <row r="138" spans="1:38">
      <c r="A138" s="10" t="e">
        <f>VLOOKUP(1839,Language!$C$6:$K$5262,#REF!+1,FALSE)</f>
        <v>#REF!</v>
      </c>
      <c r="D138" s="199"/>
      <c r="E138" s="199"/>
      <c r="F138" s="199"/>
      <c r="G138" s="199"/>
      <c r="H138" s="199"/>
      <c r="I138" s="199" t="str">
        <f t="shared" si="6"/>
        <v>Outre mer</v>
      </c>
      <c r="J138" s="199" t="str">
        <f t="shared" si="6"/>
        <v>Saarland</v>
      </c>
      <c r="K138" s="199"/>
      <c r="L138" s="199" t="str">
        <f t="shared" si="6"/>
        <v>Komárom-Esztergom</v>
      </c>
      <c r="M138" s="199"/>
      <c r="N138" s="199" t="str">
        <f t="shared" si="6"/>
        <v>PIEMONTE</v>
      </c>
      <c r="O138" s="199"/>
      <c r="P138" s="199" t="s">
        <v>1029</v>
      </c>
      <c r="Q138" s="199" t="e">
        <f t="shared" si="6"/>
        <v>#REF!</v>
      </c>
      <c r="R138" s="199" t="str">
        <f t="shared" si="6"/>
        <v>Slaskie</v>
      </c>
      <c r="S138" s="199"/>
      <c r="T138" s="199" t="str">
        <f t="shared" si="6"/>
        <v>North Karelia</v>
      </c>
      <c r="U138" s="199" t="str">
        <f t="shared" si="6"/>
        <v>Valencia</v>
      </c>
      <c r="V138" s="199"/>
      <c r="W138" s="199"/>
      <c r="X138" s="199" t="str">
        <f t="shared" si="6"/>
        <v>Northern Ireland</v>
      </c>
      <c r="Y138" s="199" t="str">
        <f t="shared" si="6"/>
        <v>Garðabær</v>
      </c>
      <c r="Z138" s="199"/>
      <c r="AA138" s="275" t="str">
        <f t="shared" si="7"/>
        <v>Olomoucký kraj</v>
      </c>
      <c r="AB138" s="275"/>
      <c r="AC138" s="275" t="s">
        <v>1052</v>
      </c>
      <c r="AD138" s="275"/>
      <c r="AE138" s="275"/>
      <c r="AF138" s="275" t="s">
        <v>1053</v>
      </c>
      <c r="AG138" s="275"/>
      <c r="AH138" s="275"/>
      <c r="AI138" s="275" t="s">
        <v>1054</v>
      </c>
      <c r="AJ138" s="275"/>
      <c r="AK138" s="275"/>
      <c r="AL138" s="275"/>
    </row>
    <row r="139" spans="1:38">
      <c r="A139" s="10" t="e">
        <f>VLOOKUP(1133,Language!$C$6:$K$5262,#REF!+1,FALSE)</f>
        <v>#REF!</v>
      </c>
      <c r="D139" s="199"/>
      <c r="E139" s="199"/>
      <c r="F139" s="199"/>
      <c r="G139" s="199"/>
      <c r="H139" s="199"/>
      <c r="I139" s="199" t="str">
        <f t="shared" si="6"/>
        <v>Pays de la Loire</v>
      </c>
      <c r="J139" s="199" t="str">
        <f t="shared" si="6"/>
        <v>Sachsen</v>
      </c>
      <c r="K139" s="199"/>
      <c r="L139" s="199" t="str">
        <f t="shared" ref="L139:N147" si="9">L18</f>
        <v>Nógrád</v>
      </c>
      <c r="M139" s="199"/>
      <c r="N139" s="199" t="str">
        <f t="shared" si="9"/>
        <v>PUGLIA</v>
      </c>
      <c r="O139" s="199"/>
      <c r="P139" s="199" t="e">
        <f t="shared" ref="P139:R141" si="10">P18</f>
        <v>#REF!</v>
      </c>
      <c r="Q139" s="199"/>
      <c r="R139" s="199" t="str">
        <f t="shared" si="10"/>
        <v>Swietokrzyskie</v>
      </c>
      <c r="S139" s="199"/>
      <c r="T139" s="199" t="str">
        <f t="shared" ref="T139:U144" si="11">T18</f>
        <v>Central Finland</v>
      </c>
      <c r="U139" s="199" t="str">
        <f t="shared" si="11"/>
        <v>Extremadura</v>
      </c>
      <c r="V139" s="199"/>
      <c r="W139" s="199"/>
      <c r="X139" s="199" t="e">
        <f>X18</f>
        <v>#REF!</v>
      </c>
      <c r="Y139" s="199" t="str">
        <f>Y18</f>
        <v>Hafnarfjörður</v>
      </c>
      <c r="Z139" s="199"/>
      <c r="AA139" s="275" t="str">
        <f t="shared" si="7"/>
        <v>Zlínský kraj</v>
      </c>
      <c r="AB139" s="275"/>
      <c r="AC139" s="275" t="s">
        <v>1065</v>
      </c>
      <c r="AD139" s="275"/>
      <c r="AE139" s="275"/>
      <c r="AF139" s="275" t="s">
        <v>1066</v>
      </c>
      <c r="AG139" s="275"/>
      <c r="AH139" s="275"/>
      <c r="AI139" s="275" t="s">
        <v>1067</v>
      </c>
      <c r="AJ139" s="275"/>
      <c r="AK139" s="275"/>
      <c r="AL139" s="275"/>
    </row>
    <row r="140" spans="1:38">
      <c r="D140" s="199"/>
      <c r="E140" s="199"/>
      <c r="F140" s="199"/>
      <c r="G140" s="199"/>
      <c r="H140" s="199"/>
      <c r="I140" s="199" t="str">
        <f t="shared" ref="I140:J143" si="12">I19</f>
        <v>Provence-Alpes-Côte d'Azur</v>
      </c>
      <c r="J140" s="199" t="str">
        <f t="shared" si="12"/>
        <v>Sachsen-Anhalt</v>
      </c>
      <c r="K140" s="199"/>
      <c r="L140" s="199" t="str">
        <f t="shared" si="9"/>
        <v>Pest</v>
      </c>
      <c r="M140" s="199"/>
      <c r="N140" s="199" t="str">
        <f t="shared" si="9"/>
        <v>SARDEGNA</v>
      </c>
      <c r="O140" s="199"/>
      <c r="P140" s="199"/>
      <c r="Q140" s="199"/>
      <c r="R140" s="199" t="str">
        <f t="shared" si="10"/>
        <v>Warminsko-Mazurskie</v>
      </c>
      <c r="S140" s="199"/>
      <c r="T140" s="199" t="str">
        <f t="shared" si="11"/>
        <v>South Ostrobothnia</v>
      </c>
      <c r="U140" s="199" t="str">
        <f t="shared" si="11"/>
        <v>Galicia</v>
      </c>
      <c r="V140" s="199"/>
      <c r="W140" s="199"/>
      <c r="X140" s="199"/>
      <c r="Y140" s="199" t="str">
        <f>Y19</f>
        <v>Álftanes</v>
      </c>
      <c r="Z140" s="199"/>
      <c r="AA140" s="275" t="str">
        <f t="shared" si="7"/>
        <v>Moravskoslezský kraj</v>
      </c>
      <c r="AB140" s="275"/>
      <c r="AC140" s="275" t="s">
        <v>1078</v>
      </c>
      <c r="AD140" s="275"/>
      <c r="AE140" s="275"/>
      <c r="AF140" s="275" t="s">
        <v>1079</v>
      </c>
      <c r="AG140" s="275"/>
      <c r="AH140" s="275"/>
      <c r="AI140" s="275" t="s">
        <v>1080</v>
      </c>
      <c r="AJ140" s="275"/>
      <c r="AK140" s="275"/>
      <c r="AL140" s="275"/>
    </row>
    <row r="141" spans="1:38">
      <c r="D141" s="199"/>
      <c r="E141" s="199"/>
      <c r="F141" s="199"/>
      <c r="G141" s="199"/>
      <c r="H141" s="199"/>
      <c r="I141" s="199" t="str">
        <f t="shared" si="12"/>
        <v>No data_France</v>
      </c>
      <c r="J141" s="199" t="str">
        <f t="shared" si="12"/>
        <v>Schleswig-Holstein</v>
      </c>
      <c r="K141" s="199"/>
      <c r="L141" s="199" t="str">
        <f t="shared" si="9"/>
        <v>Somogy</v>
      </c>
      <c r="M141" s="199"/>
      <c r="N141" s="199" t="str">
        <f t="shared" si="9"/>
        <v>SICILIA</v>
      </c>
      <c r="O141" s="199"/>
      <c r="P141" s="199"/>
      <c r="Q141" s="199"/>
      <c r="R141" s="199" t="str">
        <f t="shared" si="10"/>
        <v>Wielkopolskie</v>
      </c>
      <c r="S141" s="199"/>
      <c r="T141" s="199" t="str">
        <f t="shared" si="11"/>
        <v>Ostrobothnia</v>
      </c>
      <c r="U141" s="199" t="str">
        <f t="shared" si="11"/>
        <v>La Rioja</v>
      </c>
      <c r="V141" s="199"/>
      <c r="W141" s="199"/>
      <c r="X141" s="199"/>
      <c r="Y141" s="199" t="str">
        <f>Y20</f>
        <v>Mosfellsbær</v>
      </c>
      <c r="Z141" s="199"/>
      <c r="AA141" s="275" t="e">
        <f t="shared" si="7"/>
        <v>#REF!</v>
      </c>
      <c r="AB141" s="275"/>
      <c r="AC141" s="275" t="s">
        <v>1091</v>
      </c>
      <c r="AD141" s="275"/>
      <c r="AE141" s="275"/>
      <c r="AF141" s="275" t="s">
        <v>1092</v>
      </c>
      <c r="AG141" s="275"/>
      <c r="AH141" s="275"/>
      <c r="AI141" s="275" t="s">
        <v>1093</v>
      </c>
      <c r="AJ141" s="275"/>
      <c r="AK141" s="275"/>
      <c r="AL141" s="275"/>
    </row>
    <row r="142" spans="1:38">
      <c r="D142" s="199"/>
      <c r="E142" s="199"/>
      <c r="F142" s="199"/>
      <c r="G142" s="199"/>
      <c r="H142" s="199"/>
      <c r="I142" s="199"/>
      <c r="J142" s="199" t="str">
        <f t="shared" si="12"/>
        <v>Thüringen</v>
      </c>
      <c r="K142" s="199"/>
      <c r="L142" s="199" t="str">
        <f t="shared" si="9"/>
        <v>Szabolcs-Szatmár-Bereg</v>
      </c>
      <c r="M142" s="199"/>
      <c r="N142" s="199" t="str">
        <f t="shared" si="9"/>
        <v>TOSCANA</v>
      </c>
      <c r="O142" s="199"/>
      <c r="P142" s="199"/>
      <c r="Q142" s="199"/>
      <c r="R142" s="199" t="str">
        <f>R21</f>
        <v>Zachodniopomorskie</v>
      </c>
      <c r="S142" s="199"/>
      <c r="T142" s="199" t="str">
        <f t="shared" si="11"/>
        <v>Central Ostrobothnia</v>
      </c>
      <c r="U142" s="199" t="str">
        <f t="shared" si="11"/>
        <v>Navarra</v>
      </c>
      <c r="V142" s="199"/>
      <c r="W142" s="199"/>
      <c r="X142" s="199"/>
      <c r="Y142" s="199" t="e">
        <f>Y21</f>
        <v>#REF!</v>
      </c>
      <c r="Z142" s="199"/>
      <c r="AA142" s="275"/>
      <c r="AB142" s="275"/>
      <c r="AC142" s="275" t="s">
        <v>1102</v>
      </c>
      <c r="AD142" s="275"/>
      <c r="AE142" s="275"/>
      <c r="AF142" s="275" t="s">
        <v>1103</v>
      </c>
      <c r="AG142" s="275"/>
      <c r="AH142" s="275"/>
      <c r="AI142" s="275" t="s">
        <v>1104</v>
      </c>
      <c r="AJ142" s="275"/>
      <c r="AK142" s="275"/>
      <c r="AL142" s="275"/>
    </row>
    <row r="143" spans="1:38">
      <c r="D143" s="199"/>
      <c r="E143" s="199"/>
      <c r="F143" s="199"/>
      <c r="G143" s="199"/>
      <c r="H143" s="199"/>
      <c r="I143" s="199"/>
      <c r="J143" s="199" t="e">
        <f t="shared" si="12"/>
        <v>#REF!</v>
      </c>
      <c r="K143" s="199"/>
      <c r="L143" s="199" t="str">
        <f t="shared" si="9"/>
        <v>Tolna</v>
      </c>
      <c r="M143" s="199"/>
      <c r="N143" s="199" t="str">
        <f t="shared" si="9"/>
        <v>TRENTINO ALTO ADIGE</v>
      </c>
      <c r="O143" s="199"/>
      <c r="P143" s="199"/>
      <c r="Q143" s="199"/>
      <c r="R143" s="199" t="e">
        <f>R22</f>
        <v>#REF!</v>
      </c>
      <c r="S143" s="199"/>
      <c r="T143" s="199" t="str">
        <f t="shared" si="11"/>
        <v>North Ostrobothnia</v>
      </c>
      <c r="U143" s="199" t="str">
        <f t="shared" si="11"/>
        <v>Pais Vasco</v>
      </c>
      <c r="V143" s="199"/>
      <c r="W143" s="199"/>
      <c r="X143" s="199"/>
      <c r="Y143" s="199"/>
      <c r="Z143" s="199"/>
      <c r="AA143" s="275"/>
      <c r="AB143" s="275"/>
      <c r="AC143" s="275" t="s">
        <v>1111</v>
      </c>
      <c r="AD143" s="275"/>
      <c r="AE143" s="275"/>
      <c r="AF143" s="275" t="s">
        <v>1112</v>
      </c>
      <c r="AG143" s="275"/>
      <c r="AH143" s="275"/>
      <c r="AI143" s="275" t="s">
        <v>1113</v>
      </c>
      <c r="AJ143" s="275"/>
      <c r="AK143" s="275"/>
      <c r="AL143" s="275"/>
    </row>
    <row r="144" spans="1:38">
      <c r="D144" s="199"/>
      <c r="E144" s="199"/>
      <c r="F144" s="199"/>
      <c r="G144" s="199"/>
      <c r="H144" s="199"/>
      <c r="I144" s="199"/>
      <c r="J144" s="199"/>
      <c r="K144" s="199"/>
      <c r="L144" s="199" t="str">
        <f t="shared" si="9"/>
        <v>Vas</v>
      </c>
      <c r="M144" s="199"/>
      <c r="N144" s="199" t="str">
        <f t="shared" si="9"/>
        <v>UMBRIA</v>
      </c>
      <c r="O144" s="199"/>
      <c r="P144" s="199"/>
      <c r="Q144" s="199"/>
      <c r="R144" s="199"/>
      <c r="S144" s="199"/>
      <c r="T144" s="199" t="str">
        <f t="shared" si="11"/>
        <v>Kainuu</v>
      </c>
      <c r="U144" s="199" t="e">
        <f t="shared" si="11"/>
        <v>#REF!</v>
      </c>
      <c r="V144" s="199"/>
      <c r="W144" s="199"/>
      <c r="X144" s="199"/>
      <c r="Y144" s="199"/>
      <c r="Z144" s="199"/>
      <c r="AA144" s="275"/>
      <c r="AB144" s="275"/>
      <c r="AC144" s="275" t="str">
        <f>"Unknown"&amp;"_"&amp;AC$5</f>
        <v>Unknown_South Korea</v>
      </c>
      <c r="AD144" s="275"/>
      <c r="AE144" s="275"/>
      <c r="AF144" s="275" t="s">
        <v>1119</v>
      </c>
      <c r="AG144" s="275"/>
      <c r="AH144" s="275"/>
      <c r="AI144" s="275" t="s">
        <v>1120</v>
      </c>
      <c r="AJ144" s="275"/>
      <c r="AK144" s="275"/>
      <c r="AL144" s="275"/>
    </row>
    <row r="145" spans="4:38">
      <c r="D145" s="199"/>
      <c r="E145" s="199"/>
      <c r="F145" s="199"/>
      <c r="G145" s="199"/>
      <c r="H145" s="199"/>
      <c r="I145" s="199"/>
      <c r="J145" s="199"/>
      <c r="K145" s="199"/>
      <c r="L145" s="199" t="str">
        <f t="shared" si="9"/>
        <v>Veszprém</v>
      </c>
      <c r="M145" s="199"/>
      <c r="N145" s="199" t="str">
        <f t="shared" si="9"/>
        <v>UNKNOWN</v>
      </c>
      <c r="O145" s="199"/>
      <c r="P145" s="199"/>
      <c r="Q145" s="199"/>
      <c r="R145" s="199"/>
      <c r="S145" s="199"/>
      <c r="T145" s="199" t="str">
        <f>T24</f>
        <v>Lapland</v>
      </c>
      <c r="U145" s="199"/>
      <c r="V145" s="199"/>
      <c r="W145" s="199"/>
      <c r="X145" s="199"/>
      <c r="Y145" s="199"/>
      <c r="Z145" s="199"/>
      <c r="AA145" s="275"/>
      <c r="AB145" s="275"/>
      <c r="AC145" s="275"/>
      <c r="AD145" s="275"/>
      <c r="AE145" s="275"/>
      <c r="AF145" s="275" t="s">
        <v>1125</v>
      </c>
      <c r="AG145" s="275"/>
      <c r="AH145" s="275"/>
      <c r="AI145" s="275" t="s">
        <v>1126</v>
      </c>
      <c r="AJ145" s="275"/>
      <c r="AK145" s="275"/>
      <c r="AL145" s="275"/>
    </row>
    <row r="146" spans="4:38">
      <c r="D146" s="199"/>
      <c r="E146" s="199"/>
      <c r="F146" s="199"/>
      <c r="G146" s="199"/>
      <c r="H146" s="199"/>
      <c r="I146" s="199"/>
      <c r="J146" s="199"/>
      <c r="K146" s="199"/>
      <c r="L146" s="199" t="str">
        <f t="shared" si="9"/>
        <v>Zala</v>
      </c>
      <c r="M146" s="199"/>
      <c r="N146" s="199" t="str">
        <f t="shared" si="9"/>
        <v>VALLE D'AOSTA</v>
      </c>
      <c r="O146" s="199"/>
      <c r="P146" s="199"/>
      <c r="Q146" s="199"/>
      <c r="R146" s="199"/>
      <c r="S146" s="199"/>
      <c r="T146" s="199" t="e">
        <f>T25</f>
        <v>#REF!</v>
      </c>
      <c r="U146" s="199"/>
      <c r="V146" s="199"/>
      <c r="W146" s="199"/>
      <c r="X146" s="199"/>
      <c r="Y146" s="199"/>
      <c r="Z146" s="199"/>
      <c r="AA146" s="275"/>
      <c r="AB146" s="275"/>
      <c r="AC146" s="275"/>
      <c r="AD146" s="275"/>
      <c r="AE146" s="275"/>
      <c r="AF146" s="275" t="s">
        <v>1130</v>
      </c>
      <c r="AG146" s="275"/>
      <c r="AH146" s="275"/>
      <c r="AI146" s="275" t="s">
        <v>1131</v>
      </c>
      <c r="AJ146" s="275"/>
      <c r="AK146" s="275"/>
      <c r="AL146" s="275"/>
    </row>
    <row r="147" spans="4:38">
      <c r="D147" s="199"/>
      <c r="E147" s="199"/>
      <c r="F147" s="199"/>
      <c r="G147" s="199"/>
      <c r="H147" s="199"/>
      <c r="I147" s="199"/>
      <c r="J147" s="199"/>
      <c r="K147" s="199"/>
      <c r="L147" s="199" t="e">
        <f t="shared" si="9"/>
        <v>#REF!</v>
      </c>
      <c r="M147" s="199"/>
      <c r="N147" s="199" t="str">
        <f t="shared" si="9"/>
        <v>VENETO</v>
      </c>
      <c r="O147" s="199"/>
      <c r="P147" s="199"/>
      <c r="Q147" s="199"/>
      <c r="R147" s="199"/>
      <c r="S147" s="199"/>
      <c r="T147" s="199"/>
      <c r="U147" s="199"/>
      <c r="V147" s="199"/>
      <c r="W147" s="199"/>
      <c r="X147" s="199"/>
      <c r="Y147" s="199"/>
      <c r="Z147" s="199"/>
      <c r="AA147" s="275"/>
      <c r="AB147" s="275"/>
      <c r="AC147" s="275"/>
      <c r="AD147" s="275"/>
      <c r="AE147" s="275"/>
      <c r="AF147" s="275" t="s">
        <v>1135</v>
      </c>
      <c r="AG147" s="275"/>
      <c r="AH147" s="275"/>
      <c r="AI147" s="275" t="s">
        <v>1136</v>
      </c>
      <c r="AJ147" s="275"/>
      <c r="AK147" s="275"/>
      <c r="AL147" s="275"/>
    </row>
    <row r="148" spans="4:38">
      <c r="D148" s="199"/>
      <c r="E148" s="199"/>
      <c r="F148" s="199"/>
      <c r="G148" s="199"/>
      <c r="H148" s="199"/>
      <c r="I148" s="199"/>
      <c r="J148" s="199"/>
      <c r="K148" s="199"/>
      <c r="L148" s="199"/>
      <c r="M148" s="199"/>
      <c r="N148" s="199" t="e">
        <f>N27</f>
        <v>#REF!</v>
      </c>
      <c r="O148" s="199"/>
      <c r="P148" s="199"/>
      <c r="Q148" s="199"/>
      <c r="R148" s="199"/>
      <c r="S148" s="199"/>
      <c r="T148" s="199"/>
      <c r="U148" s="199"/>
      <c r="V148" s="199"/>
      <c r="W148" s="199"/>
      <c r="X148" s="199"/>
      <c r="Y148" s="199"/>
      <c r="Z148" s="199"/>
      <c r="AA148" s="275"/>
      <c r="AB148" s="275"/>
      <c r="AC148" s="275"/>
      <c r="AD148" s="275"/>
      <c r="AE148" s="275"/>
      <c r="AF148" s="275" t="s">
        <v>1190</v>
      </c>
      <c r="AG148" s="275"/>
      <c r="AH148" s="275"/>
      <c r="AI148" s="275" t="s">
        <v>1139</v>
      </c>
      <c r="AJ148" s="275"/>
      <c r="AK148" s="275"/>
      <c r="AL148" s="275"/>
    </row>
    <row r="149" spans="4:38">
      <c r="D149" s="199"/>
      <c r="E149" s="199"/>
      <c r="F149" s="199"/>
      <c r="G149" s="199"/>
      <c r="H149" s="199"/>
      <c r="I149" s="199"/>
      <c r="J149" s="199"/>
      <c r="K149" s="199"/>
      <c r="L149" s="199"/>
      <c r="M149" s="199"/>
      <c r="N149" s="199"/>
      <c r="O149" s="199"/>
      <c r="P149" s="199"/>
      <c r="Q149" s="199"/>
      <c r="R149" s="199"/>
      <c r="S149" s="199"/>
      <c r="T149" s="199"/>
      <c r="U149" s="199"/>
      <c r="V149" s="199"/>
      <c r="W149" s="199"/>
      <c r="X149" s="199"/>
      <c r="Y149" s="199"/>
      <c r="Z149" s="199"/>
      <c r="AA149" s="275"/>
      <c r="AB149" s="275"/>
      <c r="AC149" s="275"/>
      <c r="AD149" s="275"/>
      <c r="AE149" s="275"/>
      <c r="AF149" s="275"/>
      <c r="AG149" s="275"/>
      <c r="AH149" s="275"/>
      <c r="AI149" s="275" t="s">
        <v>1191</v>
      </c>
      <c r="AJ149" s="275"/>
      <c r="AK149" s="275"/>
      <c r="AL149" s="275"/>
    </row>
    <row r="150" spans="4:38">
      <c r="D150" s="199"/>
      <c r="E150" s="199"/>
      <c r="F150" s="199"/>
      <c r="G150" s="199"/>
      <c r="H150" s="199"/>
      <c r="I150" s="199"/>
      <c r="J150" s="199"/>
      <c r="K150" s="199"/>
      <c r="L150" s="199"/>
      <c r="M150" s="199"/>
      <c r="N150" s="199"/>
      <c r="O150" s="199"/>
      <c r="P150" s="199"/>
      <c r="Q150" s="199"/>
      <c r="R150" s="199"/>
      <c r="S150" s="199"/>
      <c r="T150" s="199"/>
      <c r="U150" s="199"/>
      <c r="V150" s="199"/>
      <c r="W150" s="199"/>
      <c r="X150" s="199"/>
      <c r="Y150" s="199"/>
      <c r="Z150" s="199"/>
      <c r="AA150" s="275"/>
      <c r="AB150" s="275"/>
      <c r="AC150" s="275"/>
      <c r="AD150" s="275"/>
      <c r="AE150" s="275"/>
      <c r="AF150" s="275"/>
      <c r="AG150" s="275"/>
      <c r="AH150" s="275"/>
      <c r="AI150" s="275"/>
      <c r="AJ150" s="275"/>
      <c r="AK150" s="275"/>
      <c r="AL150" s="275"/>
    </row>
    <row r="151" spans="4:38">
      <c r="D151" s="199"/>
      <c r="E151" s="199"/>
      <c r="F151" s="199"/>
      <c r="G151" s="199"/>
      <c r="H151" s="199"/>
      <c r="I151" s="199"/>
      <c r="J151" s="199"/>
      <c r="K151" s="199"/>
      <c r="L151" s="199"/>
      <c r="M151" s="199"/>
      <c r="N151" s="199"/>
      <c r="O151" s="199"/>
      <c r="P151" s="199"/>
      <c r="Q151" s="199"/>
      <c r="R151" s="199"/>
      <c r="S151" s="199"/>
      <c r="T151" s="199"/>
      <c r="U151" s="199"/>
      <c r="V151" s="199"/>
      <c r="W151" s="199"/>
      <c r="X151" s="199"/>
      <c r="Y151" s="199"/>
      <c r="Z151" s="199"/>
      <c r="AA151" s="275"/>
      <c r="AB151" s="275"/>
      <c r="AC151" s="275"/>
      <c r="AD151" s="275"/>
      <c r="AE151" s="275"/>
      <c r="AF151" s="275"/>
      <c r="AG151" s="275"/>
      <c r="AH151" s="275"/>
      <c r="AI151" s="275"/>
      <c r="AJ151" s="275"/>
      <c r="AK151" s="275"/>
      <c r="AL151" s="275"/>
    </row>
    <row r="152" spans="4:38">
      <c r="D152" s="199"/>
      <c r="E152" s="199"/>
      <c r="F152" s="199"/>
      <c r="G152" s="199"/>
      <c r="H152" s="199"/>
      <c r="I152" s="199"/>
      <c r="J152" s="199"/>
      <c r="K152" s="199"/>
      <c r="L152" s="199"/>
      <c r="M152" s="199"/>
      <c r="N152" s="199"/>
      <c r="O152" s="199"/>
      <c r="P152" s="199"/>
      <c r="Q152" s="199"/>
      <c r="R152" s="199"/>
      <c r="S152" s="199"/>
      <c r="T152" s="199"/>
      <c r="U152" s="199"/>
      <c r="V152" s="199"/>
      <c r="W152" s="199"/>
      <c r="X152" s="199"/>
      <c r="Y152" s="199"/>
      <c r="Z152" s="199"/>
      <c r="AA152" s="275"/>
      <c r="AB152" s="275"/>
      <c r="AC152" s="275"/>
      <c r="AD152" s="275"/>
      <c r="AE152" s="275"/>
      <c r="AF152" s="275"/>
      <c r="AG152" s="275"/>
      <c r="AH152" s="275"/>
      <c r="AI152" s="275"/>
      <c r="AJ152" s="275"/>
      <c r="AK152" s="275"/>
      <c r="AL152" s="275"/>
    </row>
    <row r="153" spans="4:38">
      <c r="D153" s="199"/>
      <c r="E153" s="199"/>
      <c r="F153" s="199"/>
      <c r="G153" s="199"/>
      <c r="H153" s="199"/>
      <c r="I153" s="199"/>
      <c r="J153" s="199"/>
      <c r="K153" s="199"/>
      <c r="L153" s="199"/>
      <c r="M153" s="199"/>
      <c r="N153" s="199"/>
      <c r="O153" s="199"/>
      <c r="P153" s="199"/>
      <c r="Q153" s="199"/>
      <c r="R153" s="199"/>
      <c r="S153" s="199"/>
      <c r="T153" s="199"/>
      <c r="U153" s="199"/>
      <c r="V153" s="199"/>
      <c r="W153" s="199"/>
      <c r="X153" s="199"/>
      <c r="Y153" s="199"/>
      <c r="Z153" s="199"/>
      <c r="AA153" s="275"/>
      <c r="AB153" s="275"/>
      <c r="AC153" s="275"/>
      <c r="AD153" s="275"/>
      <c r="AE153" s="275"/>
      <c r="AF153" s="275"/>
      <c r="AG153" s="275"/>
      <c r="AH153" s="275"/>
      <c r="AI153" s="275"/>
      <c r="AJ153" s="275"/>
      <c r="AK153" s="275"/>
      <c r="AL153" s="275"/>
    </row>
    <row r="154" spans="4:38">
      <c r="D154" s="199"/>
      <c r="E154" s="199"/>
      <c r="F154" s="199"/>
      <c r="G154" s="199"/>
      <c r="H154" s="199"/>
      <c r="I154" s="199"/>
      <c r="J154" s="199"/>
      <c r="K154" s="199"/>
      <c r="L154" s="199"/>
      <c r="M154" s="199"/>
      <c r="N154" s="199"/>
      <c r="O154" s="199"/>
      <c r="P154" s="199"/>
      <c r="Q154" s="199"/>
      <c r="R154" s="199"/>
      <c r="S154" s="199"/>
      <c r="T154" s="199"/>
      <c r="U154" s="199"/>
      <c r="V154" s="199"/>
      <c r="W154" s="199"/>
      <c r="X154" s="199"/>
      <c r="Y154" s="199"/>
      <c r="Z154" s="199"/>
      <c r="AA154" s="275"/>
      <c r="AB154" s="275"/>
      <c r="AC154" s="275"/>
      <c r="AD154" s="275"/>
      <c r="AE154" s="275"/>
      <c r="AF154" s="275"/>
      <c r="AG154" s="275"/>
      <c r="AH154" s="275"/>
      <c r="AI154" s="275"/>
      <c r="AJ154" s="275"/>
      <c r="AK154" s="275"/>
      <c r="AL154" s="275"/>
    </row>
    <row r="155" spans="4:38">
      <c r="D155" s="199"/>
      <c r="E155" s="199"/>
      <c r="F155" s="199"/>
      <c r="G155" s="199"/>
      <c r="H155" s="199"/>
      <c r="I155" s="199"/>
      <c r="J155" s="199"/>
      <c r="K155" s="199"/>
      <c r="L155" s="199"/>
      <c r="M155" s="199"/>
      <c r="N155" s="199"/>
      <c r="O155" s="199"/>
      <c r="P155" s="199"/>
      <c r="Q155" s="199"/>
      <c r="R155" s="199"/>
      <c r="S155" s="199"/>
      <c r="T155" s="199"/>
      <c r="U155" s="199"/>
      <c r="V155" s="199"/>
      <c r="W155" s="199"/>
      <c r="X155" s="199"/>
      <c r="Y155" s="199"/>
      <c r="Z155" s="199"/>
      <c r="AA155" s="275"/>
      <c r="AB155" s="275"/>
      <c r="AC155" s="275"/>
      <c r="AD155" s="275"/>
      <c r="AE155" s="275"/>
      <c r="AF155" s="275"/>
      <c r="AG155" s="275"/>
      <c r="AH155" s="275"/>
      <c r="AI155" s="275"/>
      <c r="AJ155" s="275"/>
      <c r="AK155" s="275"/>
      <c r="AL155" s="275"/>
    </row>
    <row r="162" spans="1:3">
      <c r="A162" s="10" t="e">
        <f>VLOOKUP(561.16,Language!$C$6:$K$5262,#REF!+1,FALSE)</f>
        <v>#REF!</v>
      </c>
      <c r="C162" s="10" t="e">
        <f>VLOOKUP(561.11,Language!$C$6:$K$5262,#REF!+1,FALSE)</f>
        <v>#REF!</v>
      </c>
    </row>
    <row r="163" spans="1:3">
      <c r="A163" s="10" t="e">
        <f>VLOOKUP(561.17,Language!$C$6:$K$5262,#REF!+1,FALSE)</f>
        <v>#REF!</v>
      </c>
      <c r="C163" s="10" t="e">
        <f>VLOOKUP(561.12,Language!$C$6:$K$5262,#REF!+1,FALSE)</f>
        <v>#REF!</v>
      </c>
    </row>
    <row r="164" spans="1:3">
      <c r="A164" s="10" t="e">
        <f>VLOOKUP(561.18,Language!$C$6:$K$5262,#REF!+1,FALSE)</f>
        <v>#REF!</v>
      </c>
      <c r="C164" s="10" t="e">
        <f>VLOOKUP(561.13,Language!$C$6:$K$5262,#REF!+1,FALSE)</f>
        <v>#REF!</v>
      </c>
    </row>
    <row r="165" spans="1:3">
      <c r="A165" s="10" t="e">
        <f>VLOOKUP(561.19,Language!$C$6:$K$5262,#REF!+1,FALSE)</f>
        <v>#REF!</v>
      </c>
    </row>
    <row r="166" spans="1:3">
      <c r="A166" s="10" t="e">
        <f>VLOOKUP(561.2,Language!$C$6:$K$5262,#REF!+1,FALSE)</f>
        <v>#REF!</v>
      </c>
    </row>
    <row r="167" spans="1:3">
      <c r="A167" s="10" t="e">
        <f>VLOOKUP(561.21,Language!$C$6:$K$5262,#REF!+1,FALSE)</f>
        <v>#REF!</v>
      </c>
    </row>
    <row r="168" spans="1:3">
      <c r="A168" s="10" t="e">
        <f>VLOOKUP(561.22,Language!$C$6:$K$5262,#REF!+1,FALSE)</f>
        <v>#REF!</v>
      </c>
    </row>
    <row r="169" spans="1:3">
      <c r="A169" s="10" t="e">
        <f>VLOOKUP(561.23,Language!$C$6:$K$5262,#REF!+1,FALSE)</f>
        <v>#REF!</v>
      </c>
    </row>
    <row r="170" spans="1:3">
      <c r="A170" s="10" t="e">
        <f>VLOOKUP(561.24,Language!$C$6:$K$5262,#REF!+1,FALSE)</f>
        <v>#REF!</v>
      </c>
    </row>
    <row r="171" spans="1:3">
      <c r="A171" s="10" t="e">
        <f>VLOOKUP(561.25,Language!$C$6:$K$5262,#REF!+1,FALSE)</f>
        <v>#REF!</v>
      </c>
    </row>
    <row r="172" spans="1:3">
      <c r="A172" s="10" t="e">
        <f>VLOOKUP(561.26,Language!$C$6:$K$5262,#REF!+1,FALSE)</f>
        <v>#REF!</v>
      </c>
    </row>
    <row r="173" spans="1:3">
      <c r="A173" s="10" t="e">
        <f>VLOOKUP(561.27,Language!$C$6:$K$5262,#REF!+1,FALSE)</f>
        <v>#REF!</v>
      </c>
    </row>
    <row r="174" spans="1:3">
      <c r="A174" s="10" t="e">
        <f>VLOOKUP(561.28,Language!$C$6:$K$5262,#REF!+1,FALSE)</f>
        <v>#REF!</v>
      </c>
    </row>
    <row r="175" spans="1:3">
      <c r="A175" s="10" t="e">
        <f>VLOOKUP(561.29,Language!$C$6:$K$5262,#REF!+1,FALSE)</f>
        <v>#REF!</v>
      </c>
    </row>
    <row r="176" spans="1:3">
      <c r="A176" s="10" t="e">
        <f>VLOOKUP(561.3,Language!$C$6:$K$5262,#REF!+1,FALSE)</f>
        <v>#REF!</v>
      </c>
    </row>
    <row r="177" spans="1:8">
      <c r="A177" s="10" t="e">
        <f>VLOOKUP(561.31,Language!$C$6:$K$5262,#REF!+1,FALSE)</f>
        <v>#REF!</v>
      </c>
    </row>
    <row r="180" spans="1:8">
      <c r="A180" s="10" t="e">
        <f>INDEX(Language!$D$6:$K$1231,1181,#REF!)</f>
        <v>#REF!</v>
      </c>
    </row>
    <row r="181" spans="1:8">
      <c r="A181" s="10" t="e">
        <f>INDEX(Language!$D$6:$K$1231,1182,#REF!)</f>
        <v>#REF!</v>
      </c>
    </row>
    <row r="182" spans="1:8">
      <c r="A182" s="10" t="s">
        <v>1192</v>
      </c>
    </row>
    <row r="190" spans="1:8">
      <c r="A190" s="324" t="s">
        <v>1193</v>
      </c>
      <c r="F190"/>
      <c r="G190"/>
      <c r="H190"/>
    </row>
    <row r="191" spans="1:8">
      <c r="A191" s="298"/>
      <c r="F191"/>
      <c r="G191"/>
      <c r="H191"/>
    </row>
    <row r="192" spans="1:8">
      <c r="A192" s="324"/>
      <c r="F192"/>
      <c r="G192"/>
      <c r="H192"/>
    </row>
    <row r="193" spans="1:8">
      <c r="A193" s="298" t="e">
        <f>INDEX(Language!$D$6:$K$1231,1112,#REF!)</f>
        <v>#REF!</v>
      </c>
      <c r="E193" s="3" t="s">
        <v>772</v>
      </c>
      <c r="F193"/>
    </row>
    <row r="194" spans="1:8">
      <c r="A194" s="298" t="e">
        <f>INDEX(Language!$D$6:$K$1729,1113,#REF!)</f>
        <v>#REF!</v>
      </c>
      <c r="E194" s="10" t="e">
        <f>INDEX(Language!$D$6:$K$1231,1111,#REF!)</f>
        <v>#REF!</v>
      </c>
      <c r="F194"/>
      <c r="H194"/>
    </row>
    <row r="195" spans="1:8">
      <c r="A195" s="298" t="e">
        <f>INDEX(Language!$D$6:$K$2229,1737,#REF!)</f>
        <v>#REF!</v>
      </c>
      <c r="E195" s="10" t="e">
        <f>INDEX(Language!$D$6:$K$1231,1112,#REF!)</f>
        <v>#REF!</v>
      </c>
      <c r="F195"/>
      <c r="G195" s="6"/>
      <c r="H195"/>
    </row>
    <row r="196" spans="1:8">
      <c r="A196" s="298" t="e">
        <f>INDEX(Language!$D$6:$K$2229,1738,#REF!)</f>
        <v>#REF!</v>
      </c>
      <c r="B196" s="184"/>
      <c r="E196" s="10" t="e">
        <f>INDEX(Language!$D$6:$K$1231,1113,#REF!)</f>
        <v>#REF!</v>
      </c>
      <c r="F196"/>
      <c r="G196" s="6"/>
      <c r="H196"/>
    </row>
    <row r="197" spans="1:8">
      <c r="A197" s="298" t="e">
        <f>INDEX(Language!$D$6:$K$2227,1727,#REF!)</f>
        <v>#REF!</v>
      </c>
      <c r="B197" s="184"/>
      <c r="E197" s="10" t="e">
        <f>INDEX(Language!$D$6:$K$1231,1114,#REF!)</f>
        <v>#REF!</v>
      </c>
      <c r="F197"/>
      <c r="G197" s="6"/>
      <c r="H197"/>
    </row>
    <row r="198" spans="1:8">
      <c r="A198" s="298" t="e">
        <f>INDEX(Language!$D$6:$K$1231,1134,#REF!)</f>
        <v>#REF!</v>
      </c>
      <c r="B198" s="184"/>
      <c r="E198" s="184" t="e">
        <f>INDEX(Language!$D$6:$K$2227,1727,#REF!)</f>
        <v>#REF!</v>
      </c>
      <c r="F198"/>
      <c r="G198" s="6"/>
      <c r="H198"/>
    </row>
    <row r="199" spans="1:8">
      <c r="A199" s="298" t="e">
        <f>INDEX(Language!$D$6:$K$1231,1115,#REF!)</f>
        <v>#REF!</v>
      </c>
      <c r="B199" s="184"/>
      <c r="E199" s="10" t="e">
        <f>INDEX(Language!$D$6:$K$1231,1134,#REF!)</f>
        <v>#REF!</v>
      </c>
      <c r="F199"/>
      <c r="G199" s="6"/>
      <c r="H199"/>
    </row>
    <row r="200" spans="1:8">
      <c r="A200" s="298" t="e">
        <f>INDEX(Language!$D$6:$K$2229,1734,#REF!)</f>
        <v>#REF!</v>
      </c>
      <c r="B200" s="184"/>
      <c r="E200" s="10" t="e">
        <f>INDEX(Language!$D$6:$K$1231,1115,#REF!)</f>
        <v>#REF!</v>
      </c>
      <c r="F200"/>
      <c r="G200" s="6"/>
      <c r="H200"/>
    </row>
    <row r="201" spans="1:8">
      <c r="A201" s="298" t="e">
        <f>INDEX(Language!$D$6:$K$1231,1127,#REF!)</f>
        <v>#REF!</v>
      </c>
      <c r="B201" s="184"/>
      <c r="C201" s="184"/>
      <c r="E201" s="10" t="e">
        <f>INDEX(Language!$D$6:$K$2229,1734,#REF!)</f>
        <v>#REF!</v>
      </c>
      <c r="F201"/>
      <c r="G201" s="6"/>
      <c r="H201"/>
    </row>
    <row r="202" spans="1:8">
      <c r="A202" s="298" t="e">
        <f>INDEX(Language!$D$6:$K$1231,1116,#REF!)</f>
        <v>#REF!</v>
      </c>
      <c r="B202" s="184"/>
      <c r="C202" s="184"/>
      <c r="E202" s="10" t="e">
        <f>INDEX(Language!$D$6:$K$1231,1127,#REF!)</f>
        <v>#REF!</v>
      </c>
      <c r="F202"/>
      <c r="G202" s="6"/>
      <c r="H202"/>
    </row>
    <row r="203" spans="1:8">
      <c r="A203" s="298" t="e">
        <f>INDEX(Language!$D$6:$K$1231,1117,#REF!)</f>
        <v>#REF!</v>
      </c>
      <c r="B203" s="184"/>
      <c r="C203" s="184"/>
      <c r="E203" s="10" t="e">
        <f>INDEX(Language!$D$6:$K$1231,1116,#REF!)</f>
        <v>#REF!</v>
      </c>
      <c r="F203"/>
      <c r="G203" s="6"/>
      <c r="H203"/>
    </row>
    <row r="204" spans="1:8">
      <c r="A204" s="298" t="e">
        <f>INDEX(Language!$D$6:$K$1231,1118,#REF!)</f>
        <v>#REF!</v>
      </c>
      <c r="B204" s="184"/>
      <c r="C204" s="184"/>
      <c r="E204" s="10" t="e">
        <f>INDEX(Language!$D$6:$K$1231,1117,#REF!)</f>
        <v>#REF!</v>
      </c>
      <c r="F204"/>
      <c r="G204" s="6"/>
      <c r="H204"/>
    </row>
    <row r="205" spans="1:8">
      <c r="A205" s="298" t="e">
        <f>INDEX(Language!$D$6:$K$1231,1119,#REF!)</f>
        <v>#REF!</v>
      </c>
      <c r="B205" s="184"/>
      <c r="E205" s="10" t="e">
        <f>INDEX(Language!$D$6:$K$1231,1118,#REF!)</f>
        <v>#REF!</v>
      </c>
      <c r="F205"/>
      <c r="G205" s="6"/>
      <c r="H205"/>
    </row>
    <row r="206" spans="1:8">
      <c r="A206" s="298" t="e">
        <f>INDEX(Language!$D$6:$K$1231,1132,#REF!)</f>
        <v>#REF!</v>
      </c>
      <c r="B206" s="184"/>
      <c r="E206" s="10" t="e">
        <f>INDEX(Language!$D$6:$K$1231,1119,#REF!)</f>
        <v>#REF!</v>
      </c>
      <c r="F206"/>
      <c r="G206" s="6"/>
      <c r="H206"/>
    </row>
    <row r="207" spans="1:8">
      <c r="A207" s="298" t="e">
        <f>INDEX(Language!$D$6:$K$1231,1120,#REF!)</f>
        <v>#REF!</v>
      </c>
      <c r="B207" s="184"/>
      <c r="E207" s="10" t="e">
        <f>INDEX(Language!$D$6:$K$1231,1132,#REF!)</f>
        <v>#REF!</v>
      </c>
      <c r="F207"/>
      <c r="G207" s="6"/>
      <c r="H207"/>
    </row>
    <row r="208" spans="1:8">
      <c r="A208" s="298" t="e">
        <f>INDEX(Language!$D$6:$K$1231,1121,#REF!)</f>
        <v>#REF!</v>
      </c>
      <c r="B208" s="184"/>
      <c r="E208" s="10" t="e">
        <f>INDEX(Language!$D$6:$K$1231,1120,#REF!)</f>
        <v>#REF!</v>
      </c>
      <c r="F208"/>
      <c r="G208" s="6"/>
      <c r="H208"/>
    </row>
    <row r="209" spans="1:8">
      <c r="A209" s="298" t="e">
        <f>INDEX(Language!$D$6:$K$1998,1735,#REF!)</f>
        <v>#REF!</v>
      </c>
      <c r="B209" s="184"/>
      <c r="E209" s="10" t="e">
        <f>INDEX(Language!$D$6:$K$1231,1121,#REF!)</f>
        <v>#REF!</v>
      </c>
      <c r="F209"/>
      <c r="G209" s="6"/>
      <c r="H209"/>
    </row>
    <row r="210" spans="1:8">
      <c r="A210" s="298" t="e">
        <f>INDEX(Language!$D$6:$K$2229,1739,#REF!)</f>
        <v>#REF!</v>
      </c>
      <c r="B210" s="184"/>
      <c r="E210" s="10" t="e">
        <f>INDEX(Language!$D$6:$K$1231,1122,#REF!)</f>
        <v>#REF!</v>
      </c>
      <c r="F210"/>
      <c r="G210" s="6"/>
      <c r="H210"/>
    </row>
    <row r="211" spans="1:8">
      <c r="A211" s="298" t="e">
        <f>INDEX(Language!$D$6:$K$2229,1736,#REF!)</f>
        <v>#REF!</v>
      </c>
      <c r="B211" s="184"/>
      <c r="E211" s="10" t="e">
        <f>INDEX(Language!$D$6:$K$1998,1735,#REF!)</f>
        <v>#REF!</v>
      </c>
      <c r="F211"/>
      <c r="G211" s="6"/>
      <c r="H211"/>
    </row>
    <row r="212" spans="1:8">
      <c r="A212" s="298" t="e">
        <f>INDEX(Language!$D$6:$K$2227,1728,#REF!)</f>
        <v>#REF!</v>
      </c>
      <c r="B212" s="184"/>
      <c r="E212" s="10" t="e">
        <f>INDEX(Language!$D$6:$K$2229,1736,#REF!)</f>
        <v>#REF!</v>
      </c>
      <c r="F212"/>
      <c r="G212" s="6"/>
      <c r="H212"/>
    </row>
    <row r="213" spans="1:8">
      <c r="A213" s="298" t="e">
        <f>INDEX(Language!$D$6:$K$2229,1740,#REF!)</f>
        <v>#REF!</v>
      </c>
      <c r="B213" s="184"/>
      <c r="E213" s="10" t="e">
        <f>INDEX(Language!$D$6:$K$1231,1123,#REF!)</f>
        <v>#REF!</v>
      </c>
      <c r="F213"/>
      <c r="G213" s="6"/>
      <c r="H213"/>
    </row>
    <row r="214" spans="1:8">
      <c r="A214" s="298" t="e">
        <f>INDEX(Language!$D$6:$K$1231,1123,#REF!)</f>
        <v>#REF!</v>
      </c>
      <c r="B214" s="184"/>
      <c r="E214" s="10" t="e">
        <f>INDEX(Language!$D$6:$K$2227,1719,#REF!)</f>
        <v>#REF!</v>
      </c>
      <c r="F214"/>
      <c r="G214" s="6"/>
      <c r="H214"/>
    </row>
    <row r="215" spans="1:8">
      <c r="A215" s="298" t="e">
        <f>INDEX(Language!$D$6:$K$1231,1124,#REF!)</f>
        <v>#REF!</v>
      </c>
      <c r="B215" s="184"/>
      <c r="E215" s="184" t="e">
        <f>INDEX(Language!$D$6:$K$2227,1124,#REF!)</f>
        <v>#REF!</v>
      </c>
      <c r="F215"/>
      <c r="G215" s="6"/>
      <c r="H215"/>
    </row>
    <row r="216" spans="1:8">
      <c r="A216" s="298" t="e">
        <f>INDEX(Language!$D$6:$K$1231,1125,#REF!)</f>
        <v>#REF!</v>
      </c>
      <c r="B216" s="184"/>
      <c r="E216" s="184" t="e">
        <f>INDEX(Language!$D$6:$K$2227,1125,#REF!)</f>
        <v>#REF!</v>
      </c>
      <c r="F216"/>
      <c r="G216" s="6"/>
      <c r="H216"/>
    </row>
    <row r="217" spans="1:8">
      <c r="A217" s="298" t="e">
        <f>INDEX(Language!$D$6:$K$1231,1126,#REF!)</f>
        <v>#REF!</v>
      </c>
      <c r="B217" s="184"/>
      <c r="E217" s="10" t="e">
        <f>INDEX(Language!$D$6:$K$1998,1126,#REF!)</f>
        <v>#REF!</v>
      </c>
      <c r="F217"/>
      <c r="G217" s="6"/>
      <c r="H217"/>
    </row>
    <row r="218" spans="1:8">
      <c r="A218" s="298" t="e">
        <f>INDEX(Language!$D$6:$K$2227,1729,#REF!)</f>
        <v>#REF!</v>
      </c>
      <c r="E218" s="10" t="e">
        <f>INDEX(Language!$D$6:$K$1998,1729,#REF!)</f>
        <v>#REF!</v>
      </c>
      <c r="F218"/>
      <c r="G218" s="6"/>
      <c r="H218"/>
    </row>
    <row r="219" spans="1:8">
      <c r="A219" s="298" t="e">
        <f>INDEX(Language!$D$6:$K$2227,1730,#REF!)</f>
        <v>#REF!</v>
      </c>
      <c r="E219" s="10" t="e">
        <f>INDEX(Language!$D$6:$K$2229,1730,#REF!)</f>
        <v>#REF!</v>
      </c>
      <c r="F219"/>
      <c r="G219" s="6"/>
      <c r="H219"/>
    </row>
    <row r="220" spans="1:8">
      <c r="A220" s="298" t="e">
        <f>INDEX(Language!$D$6:$K$2227,1731,#REF!)</f>
        <v>#REF!</v>
      </c>
      <c r="E220" s="298" t="e">
        <f>INDEX(Language!$D$6:$K$2229,1716,#REF!)</f>
        <v>#REF!</v>
      </c>
      <c r="F220"/>
      <c r="G220" s="6"/>
      <c r="H220"/>
    </row>
    <row r="221" spans="1:8">
      <c r="A221" s="298" t="e">
        <f>INDEX(Language!$D$6:$K$2229,1741,#REF!)</f>
        <v>#REF!</v>
      </c>
      <c r="E221" s="10" t="e">
        <f>INDEX(Language!$D$6:$K$2229,1718,#REF!)</f>
        <v>#REF!</v>
      </c>
      <c r="F221"/>
      <c r="G221" s="6"/>
      <c r="H221"/>
    </row>
    <row r="222" spans="1:8">
      <c r="A222" s="298" t="e">
        <f>INDEX(Language!$D$6:$K$1231,1128,#REF!)</f>
        <v>#REF!</v>
      </c>
      <c r="E222" s="10" t="e">
        <f>INDEX(Language!$D$6:$K$2229,1731,#REF!)</f>
        <v>#REF!</v>
      </c>
      <c r="F222"/>
      <c r="G222" s="6"/>
      <c r="H222"/>
    </row>
    <row r="223" spans="1:8">
      <c r="A223" s="298" t="e">
        <f>INDEX(Language!$D$6:$K$1231,1129,#REF!)</f>
        <v>#REF!</v>
      </c>
      <c r="E223" s="184" t="e">
        <f>INDEX(Language!$D$6:$K$2227,1128,#REF!)</f>
        <v>#REF!</v>
      </c>
      <c r="F223"/>
      <c r="G223" s="6"/>
      <c r="H223"/>
    </row>
    <row r="224" spans="1:8">
      <c r="A224" s="298" t="e">
        <f>INDEX(Language!$D$6:$K$1231,1130,#REF!)</f>
        <v>#REF!</v>
      </c>
      <c r="E224" s="10" t="e">
        <f>INDEX(Language!$D$6:$K$1231,1129,#REF!)</f>
        <v>#REF!</v>
      </c>
      <c r="F224"/>
      <c r="G224" s="6"/>
      <c r="H224"/>
    </row>
    <row r="225" spans="1:8">
      <c r="A225" s="298" t="e">
        <f>INDEX(Language!$D$6:$K$2227,1733,#REF!)</f>
        <v>#REF!</v>
      </c>
      <c r="E225" s="10" t="e">
        <f>INDEX(Language!$D$6:$K$1231,1130,#REF!)</f>
        <v>#REF!</v>
      </c>
      <c r="F225"/>
      <c r="G225" s="6"/>
      <c r="H225"/>
    </row>
    <row r="226" spans="1:8">
      <c r="A226" s="298" t="e">
        <f>INDEX(Language!$D$6:$K$1231,1131,#REF!)</f>
        <v>#REF!</v>
      </c>
      <c r="E226" s="10" t="e">
        <f>INDEX(Language!$D$6:$K$2227,1733,#REF!)</f>
        <v>#REF!</v>
      </c>
      <c r="F226"/>
      <c r="G226" s="6"/>
      <c r="H226"/>
    </row>
    <row r="227" spans="1:8">
      <c r="A227" s="298" t="e">
        <f>INDEX(Language!$D$6:$K$1231,1111,#REF!)</f>
        <v>#REF!</v>
      </c>
      <c r="E227" s="10" t="e">
        <f>INDEX(Language!$D$6:$K$1231,1131,#REF!)</f>
        <v>#REF!</v>
      </c>
      <c r="F227"/>
      <c r="G227" s="6"/>
      <c r="H227"/>
    </row>
    <row r="228" spans="1:8">
      <c r="A228" s="298" t="e">
        <f>INDEX(Language!$D$6:$K$2229,1742,#REF!)</f>
        <v>#REF!</v>
      </c>
      <c r="E228" s="10" t="e">
        <f>INDEX(Language!$D$6:$K$1231,1133,#REF!)</f>
        <v>#REF!</v>
      </c>
      <c r="F228"/>
      <c r="G228" s="6"/>
      <c r="H228"/>
    </row>
    <row r="229" spans="1:8">
      <c r="A229" s="298" t="e">
        <f>INDEX(Language!$D$6:$K$2229,1743,#REF!)</f>
        <v>#REF!</v>
      </c>
      <c r="F229"/>
      <c r="G229" s="6"/>
      <c r="H229"/>
    </row>
    <row r="230" spans="1:8">
      <c r="A230" s="298" t="e">
        <f>INDEX(Language!$D$6:$K$2229,1744,#REF!)</f>
        <v>#REF!</v>
      </c>
      <c r="F230"/>
      <c r="G230" s="6"/>
      <c r="H230"/>
    </row>
    <row r="231" spans="1:8">
      <c r="A231" s="298" t="e">
        <f>INDEX(Language!$D$6:$K$1231,1122,#REF!)</f>
        <v>#REF!</v>
      </c>
      <c r="F231"/>
      <c r="G231" s="321"/>
      <c r="H231"/>
    </row>
    <row r="232" spans="1:8">
      <c r="A232" s="298" t="e">
        <f>INDEX(Language!$D$6:$K$2229,1719,#REF!)</f>
        <v>#REF!</v>
      </c>
      <c r="F232"/>
      <c r="G232" s="6"/>
      <c r="H232"/>
    </row>
    <row r="233" spans="1:8">
      <c r="A233" s="298" t="e">
        <f>INDEX(Language!$D$6:$K$2229,1745,#REF!)</f>
        <v>#REF!</v>
      </c>
      <c r="F233"/>
      <c r="G233" s="6"/>
      <c r="H233"/>
    </row>
    <row r="234" spans="1:8">
      <c r="A234" s="298" t="e">
        <f>INDEX(Language!$D$6:$K$2229,1746,#REF!)</f>
        <v>#REF!</v>
      </c>
      <c r="F234"/>
      <c r="G234" s="6"/>
      <c r="H234"/>
    </row>
    <row r="235" spans="1:8">
      <c r="A235" s="298" t="e">
        <f>INDEX(Language!$D$6:$K$2229,1716,#REF!)</f>
        <v>#REF!</v>
      </c>
      <c r="F235"/>
      <c r="G235" s="6"/>
      <c r="H235"/>
    </row>
    <row r="236" spans="1:8">
      <c r="A236" s="298" t="e">
        <f>INDEX(Language!$D$6:$K$2229,1718,#REF!)</f>
        <v>#REF!</v>
      </c>
      <c r="F236"/>
      <c r="G236" s="6"/>
      <c r="H236"/>
    </row>
    <row r="237" spans="1:8">
      <c r="A237" s="298" t="e">
        <f>INDEX(Language!$D$6:$K$2229,1747,#REF!)</f>
        <v>#REF!</v>
      </c>
      <c r="F237"/>
      <c r="G237" s="6"/>
      <c r="H237"/>
    </row>
    <row r="238" spans="1:8">
      <c r="A238" s="298" t="e">
        <f>INDEX(Language!$D$6:$K$2229,1748,#REF!)</f>
        <v>#REF!</v>
      </c>
      <c r="B238"/>
      <c r="C238"/>
      <c r="F238"/>
      <c r="G238" s="321"/>
      <c r="H238"/>
    </row>
    <row r="239" spans="1:8">
      <c r="A239" s="298" t="e">
        <f>INDEX(Language!$D$6:$K$2229,1749,#REF!)</f>
        <v>#REF!</v>
      </c>
      <c r="B239"/>
      <c r="C239"/>
      <c r="F239"/>
      <c r="G239" s="6"/>
      <c r="H239"/>
    </row>
    <row r="240" spans="1:8">
      <c r="A240" s="298" t="e">
        <f>INDEX(Language!$D$6:$K$2229,1750,#REF!)</f>
        <v>#REF!</v>
      </c>
      <c r="B240"/>
      <c r="C240"/>
      <c r="F240"/>
      <c r="G240" s="6"/>
      <c r="H240"/>
    </row>
    <row r="241" spans="1:8">
      <c r="A241" s="298" t="e">
        <f>INDEX(Language!$D$6:$K$2229,1751,#REF!)</f>
        <v>#REF!</v>
      </c>
      <c r="B241"/>
      <c r="C241"/>
      <c r="F241"/>
      <c r="G241" s="6"/>
      <c r="H241"/>
    </row>
    <row r="242" spans="1:8">
      <c r="A242" s="298" t="e">
        <f>INDEX(Language!$D$6:$K$2227,1114,#REF!)</f>
        <v>#REF!</v>
      </c>
      <c r="B242"/>
      <c r="C242"/>
      <c r="F242"/>
      <c r="G242" s="6"/>
      <c r="H242"/>
    </row>
    <row r="243" spans="1:8">
      <c r="A243" s="298" t="e">
        <f>INDEX(Language!$D$6:$K$2229,1752,#REF!)</f>
        <v>#REF!</v>
      </c>
      <c r="B243"/>
      <c r="C243"/>
      <c r="F243"/>
      <c r="G243" s="6"/>
      <c r="H243"/>
    </row>
    <row r="244" spans="1:8">
      <c r="A244" s="298" t="e">
        <f>INDEX(Language!$D$6:$K$2229,1755,#REF!)</f>
        <v>#REF!</v>
      </c>
      <c r="B244"/>
      <c r="C244"/>
      <c r="F244"/>
      <c r="G244" s="6"/>
      <c r="H244"/>
    </row>
    <row r="245" spans="1:8">
      <c r="A245" s="298" t="e">
        <f>INDEX(Language!$D$6:$K$2229,1753,#REF!)</f>
        <v>#REF!</v>
      </c>
      <c r="B245"/>
      <c r="C245"/>
      <c r="F245"/>
      <c r="G245" s="6"/>
      <c r="H245"/>
    </row>
    <row r="246" spans="1:8">
      <c r="A246" s="298" t="e">
        <f>INDEX(Language!$D$6:$K$2229,1754,#REF!)</f>
        <v>#REF!</v>
      </c>
      <c r="B246"/>
      <c r="C246"/>
      <c r="F246"/>
      <c r="G246" s="6"/>
      <c r="H246"/>
    </row>
    <row r="247" spans="1:8">
      <c r="A247" s="298" t="e">
        <f>INDEX(Language!$D$6:$K$2227,1732,#REF!)</f>
        <v>#REF!</v>
      </c>
      <c r="B247"/>
      <c r="C247"/>
      <c r="F247"/>
      <c r="G247" s="6"/>
      <c r="H247"/>
    </row>
    <row r="248" spans="1:8">
      <c r="A248" s="298" t="e">
        <f>INDEX(Language!$D$6:$K$1231,1133,#REF!)</f>
        <v>#REF!</v>
      </c>
      <c r="B248"/>
      <c r="C248"/>
      <c r="F248"/>
      <c r="G248" s="6"/>
      <c r="H248"/>
    </row>
    <row r="249" spans="1:8">
      <c r="A249" s="298"/>
      <c r="B249"/>
      <c r="C249"/>
      <c r="G249" s="6"/>
      <c r="H249"/>
    </row>
    <row r="250" spans="1:8">
      <c r="B250"/>
      <c r="C250"/>
      <c r="G250" s="6"/>
      <c r="H250"/>
    </row>
    <row r="251" spans="1:8">
      <c r="B251"/>
      <c r="C251"/>
    </row>
    <row r="252" spans="1:8">
      <c r="B252"/>
      <c r="C252"/>
    </row>
    <row r="253" spans="1:8">
      <c r="B253"/>
      <c r="C253"/>
    </row>
    <row r="254" spans="1:8">
      <c r="B254"/>
      <c r="C254"/>
    </row>
    <row r="255" spans="1:8">
      <c r="B255"/>
      <c r="C255"/>
    </row>
    <row r="986" spans="5:5">
      <c r="E986" s="184"/>
    </row>
  </sheetData>
  <customSheetViews>
    <customSheetView guid="{177A950E-F986-4F9F-BF7A-3EE97148E8BF}" scale="70" fitToPage="1" showRuler="0" topLeftCell="V1">
      <selection activeCell="AF4" sqref="AF4"/>
      <pageMargins left="0" right="0" top="0" bottom="0" header="0" footer="0"/>
      <pageSetup paperSize="9" scale="31" orientation="landscape" verticalDpi="0" r:id="rId1"/>
      <headerFooter alignWithMargins="0"/>
    </customSheetView>
    <customSheetView guid="{51EFF3A7-EBAD-4444-AC2F-4C032192BE96}" scale="85" fitToPage="1" state="veryHidden">
      <pageMargins left="0" right="0" top="0" bottom="0" header="0" footer="0"/>
      <pageSetup paperSize="9" scale="30" orientation="landscape" r:id="rId2"/>
      <headerFooter alignWithMargins="0"/>
    </customSheetView>
  </customSheetViews>
  <phoneticPr fontId="7" type="noConversion"/>
  <pageMargins left="0.75" right="0.75" top="1" bottom="1" header="0.5" footer="0.5"/>
  <pageSetup paperSize="9" scale="26" orientation="landscape" r:id="rId3"/>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M1889"/>
  <sheetViews>
    <sheetView topLeftCell="B1883" zoomScaleNormal="100" workbookViewId="0">
      <selection activeCell="E1900" sqref="E1900"/>
    </sheetView>
  </sheetViews>
  <sheetFormatPr baseColWidth="10" defaultColWidth="9.140625" defaultRowHeight="12.75"/>
  <cols>
    <col min="1" max="1" width="13.28515625" style="64" customWidth="1"/>
    <col min="2" max="2" width="9.140625" style="64"/>
    <col min="3" max="3" width="19.42578125" style="64" bestFit="1" customWidth="1"/>
    <col min="4" max="4" width="47.42578125" style="64" customWidth="1"/>
    <col min="5" max="5" width="48.5703125" style="301" customWidth="1"/>
    <col min="6" max="6" width="55.7109375" style="64" customWidth="1"/>
    <col min="7" max="7" width="54.7109375" style="64" customWidth="1"/>
    <col min="8" max="8" width="61" style="64" customWidth="1"/>
    <col min="9" max="16384" width="9.140625" style="64"/>
  </cols>
  <sheetData>
    <row r="1" spans="1:11" ht="12.75" customHeight="1">
      <c r="A1" s="516" t="s">
        <v>1194</v>
      </c>
      <c r="B1" s="516"/>
      <c r="E1" s="64"/>
    </row>
    <row r="2" spans="1:11">
      <c r="A2" s="65" t="s">
        <v>1195</v>
      </c>
      <c r="E2" s="64"/>
    </row>
    <row r="3" spans="1:11">
      <c r="A3" s="65" t="s">
        <v>1196</v>
      </c>
      <c r="E3" s="64"/>
    </row>
    <row r="4" spans="1:11">
      <c r="A4" s="65" t="s">
        <v>1158</v>
      </c>
      <c r="E4" s="64"/>
    </row>
    <row r="5" spans="1:11" ht="13.5" thickBot="1">
      <c r="A5" s="65"/>
      <c r="D5" s="66" t="s">
        <v>1195</v>
      </c>
      <c r="E5" s="64" t="s">
        <v>1196</v>
      </c>
      <c r="F5" s="64" t="s">
        <v>1158</v>
      </c>
    </row>
    <row r="6" spans="1:11" ht="204.75">
      <c r="C6" s="20">
        <v>1</v>
      </c>
      <c r="D6" s="67" t="s">
        <v>1197</v>
      </c>
      <c r="E6" s="179" t="s">
        <v>1198</v>
      </c>
      <c r="F6" s="67" t="s">
        <v>1199</v>
      </c>
      <c r="H6" s="140"/>
      <c r="I6" s="140"/>
      <c r="J6" s="140"/>
      <c r="K6" s="141"/>
    </row>
    <row r="7" spans="1:11" ht="12.75" customHeight="1">
      <c r="C7" s="20">
        <v>2</v>
      </c>
      <c r="D7" s="31" t="s">
        <v>1200</v>
      </c>
      <c r="E7" s="20" t="s">
        <v>1201</v>
      </c>
      <c r="F7" s="31" t="s">
        <v>1202</v>
      </c>
      <c r="K7" s="142"/>
    </row>
    <row r="8" spans="1:11" ht="12.75" customHeight="1">
      <c r="C8" s="20">
        <v>3</v>
      </c>
      <c r="D8" s="31" t="s">
        <v>1203</v>
      </c>
      <c r="E8" s="20" t="s">
        <v>1204</v>
      </c>
      <c r="F8" s="31" t="s">
        <v>1205</v>
      </c>
      <c r="K8" s="142"/>
    </row>
    <row r="9" spans="1:11" ht="12.75" customHeight="1">
      <c r="C9" s="20">
        <v>4</v>
      </c>
      <c r="D9" s="68" t="s">
        <v>1206</v>
      </c>
      <c r="E9" s="69" t="s">
        <v>1207</v>
      </c>
      <c r="F9" s="68" t="s">
        <v>1208</v>
      </c>
      <c r="K9" s="142"/>
    </row>
    <row r="10" spans="1:11" ht="25.5" customHeight="1">
      <c r="C10" s="20">
        <v>5</v>
      </c>
      <c r="D10" s="325" t="s">
        <v>1209</v>
      </c>
      <c r="E10" s="326" t="s">
        <v>1210</v>
      </c>
      <c r="F10" s="327" t="s">
        <v>1211</v>
      </c>
      <c r="K10" s="142"/>
    </row>
    <row r="11" spans="1:11" ht="12.75" customHeight="1">
      <c r="C11" s="20">
        <v>6</v>
      </c>
      <c r="D11" s="31"/>
      <c r="E11" s="20"/>
      <c r="F11" s="31"/>
      <c r="K11" s="142"/>
    </row>
    <row r="12" spans="1:11" ht="12.75" customHeight="1">
      <c r="C12" s="20">
        <v>7</v>
      </c>
      <c r="D12" s="32" t="s">
        <v>1212</v>
      </c>
      <c r="E12" s="22" t="s">
        <v>1213</v>
      </c>
      <c r="F12" s="32" t="s">
        <v>1214</v>
      </c>
      <c r="K12" s="142"/>
    </row>
    <row r="13" spans="1:11" ht="15.75" customHeight="1">
      <c r="C13" s="20">
        <v>8</v>
      </c>
      <c r="D13" s="33"/>
      <c r="E13" s="64"/>
      <c r="K13" s="142"/>
    </row>
    <row r="14" spans="1:11" ht="15.75" customHeight="1">
      <c r="C14" s="20">
        <v>9</v>
      </c>
      <c r="D14" s="34" t="s">
        <v>1215</v>
      </c>
      <c r="E14" s="17" t="s">
        <v>1216</v>
      </c>
      <c r="F14" s="34" t="s">
        <v>1217</v>
      </c>
      <c r="K14" s="142"/>
    </row>
    <row r="15" spans="1:11" ht="110.25">
      <c r="C15" s="20">
        <v>10</v>
      </c>
      <c r="D15" s="35" t="s">
        <v>1218</v>
      </c>
      <c r="E15" s="14" t="s">
        <v>1219</v>
      </c>
      <c r="F15" s="188" t="s">
        <v>1220</v>
      </c>
      <c r="K15" s="142"/>
    </row>
    <row r="16" spans="1:11" ht="78.75">
      <c r="C16" s="20">
        <v>11</v>
      </c>
      <c r="D16" s="35" t="s">
        <v>1221</v>
      </c>
      <c r="E16" s="14" t="s">
        <v>1222</v>
      </c>
      <c r="F16" s="188" t="s">
        <v>1223</v>
      </c>
      <c r="K16" s="142"/>
    </row>
    <row r="17" spans="3:11" ht="15.75">
      <c r="C17" s="20">
        <v>12</v>
      </c>
      <c r="D17" s="35"/>
      <c r="E17" s="13" t="s">
        <v>1224</v>
      </c>
      <c r="F17" s="188"/>
      <c r="K17" s="142"/>
    </row>
    <row r="18" spans="3:11" ht="299.25">
      <c r="C18" s="20">
        <v>13</v>
      </c>
      <c r="D18" s="35" t="s">
        <v>1225</v>
      </c>
      <c r="E18" s="14" t="s">
        <v>1226</v>
      </c>
      <c r="F18" s="188" t="s">
        <v>1227</v>
      </c>
      <c r="K18" s="142"/>
    </row>
    <row r="19" spans="3:11" ht="15.75" customHeight="1">
      <c r="C19" s="20">
        <v>14</v>
      </c>
      <c r="D19" s="35"/>
      <c r="E19" s="13"/>
      <c r="F19" s="188"/>
      <c r="K19" s="142"/>
    </row>
    <row r="20" spans="3:11" ht="15.75" customHeight="1">
      <c r="C20" s="20">
        <v>15</v>
      </c>
      <c r="D20" s="34" t="s">
        <v>1228</v>
      </c>
      <c r="E20" s="17" t="s">
        <v>1229</v>
      </c>
      <c r="F20" s="34" t="s">
        <v>1230</v>
      </c>
      <c r="K20" s="142"/>
    </row>
    <row r="21" spans="3:11" ht="47.25">
      <c r="C21" s="20">
        <v>16</v>
      </c>
      <c r="D21" s="35" t="s">
        <v>1231</v>
      </c>
      <c r="E21" s="14" t="s">
        <v>1232</v>
      </c>
      <c r="F21" s="188" t="s">
        <v>1233</v>
      </c>
      <c r="K21" s="142"/>
    </row>
    <row r="22" spans="3:11" ht="78.75">
      <c r="C22" s="20">
        <v>17</v>
      </c>
      <c r="D22" s="35" t="s">
        <v>1234</v>
      </c>
      <c r="E22" s="14" t="s">
        <v>1235</v>
      </c>
      <c r="F22" s="188" t="s">
        <v>1236</v>
      </c>
      <c r="K22" s="142"/>
    </row>
    <row r="23" spans="3:11" ht="15.75" customHeight="1">
      <c r="C23" s="20">
        <v>18</v>
      </c>
      <c r="D23" s="35" t="s">
        <v>1237</v>
      </c>
      <c r="E23" s="209" t="s">
        <v>1238</v>
      </c>
      <c r="F23" s="188" t="s">
        <v>1239</v>
      </c>
      <c r="K23" s="142"/>
    </row>
    <row r="24" spans="3:11" ht="15.75" customHeight="1">
      <c r="C24" s="20">
        <v>19</v>
      </c>
      <c r="D24" s="35" t="s">
        <v>1240</v>
      </c>
      <c r="E24" s="14" t="s">
        <v>1241</v>
      </c>
      <c r="F24" s="188" t="s">
        <v>1242</v>
      </c>
      <c r="K24" s="142"/>
    </row>
    <row r="25" spans="3:11" ht="15.75" customHeight="1">
      <c r="C25" s="20">
        <v>20</v>
      </c>
      <c r="D25" s="35" t="s">
        <v>1243</v>
      </c>
      <c r="E25" s="35" t="s">
        <v>1244</v>
      </c>
      <c r="F25" s="188" t="s">
        <v>1245</v>
      </c>
      <c r="K25" s="142"/>
    </row>
    <row r="26" spans="3:11" ht="122.25" customHeight="1">
      <c r="C26" s="20">
        <v>21</v>
      </c>
      <c r="D26" s="35" t="s">
        <v>1246</v>
      </c>
      <c r="E26" s="14" t="s">
        <v>1247</v>
      </c>
      <c r="F26" s="188" t="s">
        <v>1248</v>
      </c>
      <c r="K26" s="142"/>
    </row>
    <row r="27" spans="3:11" ht="63">
      <c r="C27" s="20">
        <v>22</v>
      </c>
      <c r="D27" s="35" t="s">
        <v>1249</v>
      </c>
      <c r="E27" s="14" t="s">
        <v>1250</v>
      </c>
      <c r="F27" s="188" t="s">
        <v>1251</v>
      </c>
      <c r="K27" s="142"/>
    </row>
    <row r="28" spans="3:11" ht="63">
      <c r="C28" s="20">
        <v>23</v>
      </c>
      <c r="D28" s="35" t="s">
        <v>1252</v>
      </c>
      <c r="E28" s="14" t="s">
        <v>1253</v>
      </c>
      <c r="F28" s="33" t="s">
        <v>1254</v>
      </c>
      <c r="K28" s="142"/>
    </row>
    <row r="29" spans="3:11" ht="157.5">
      <c r="C29" s="20">
        <v>24</v>
      </c>
      <c r="D29" s="35" t="s">
        <v>1255</v>
      </c>
      <c r="E29" s="14" t="s">
        <v>1256</v>
      </c>
      <c r="F29" s="188" t="s">
        <v>1257</v>
      </c>
      <c r="K29" s="142"/>
    </row>
    <row r="30" spans="3:11" ht="51.75" customHeight="1">
      <c r="C30" s="20">
        <v>25</v>
      </c>
      <c r="D30" s="35" t="s">
        <v>1258</v>
      </c>
      <c r="E30" s="14" t="s">
        <v>1259</v>
      </c>
      <c r="F30" s="188" t="s">
        <v>1260</v>
      </c>
      <c r="K30" s="142"/>
    </row>
    <row r="31" spans="3:11" ht="15.75" customHeight="1">
      <c r="C31" s="20">
        <v>26</v>
      </c>
      <c r="D31" s="34" t="s">
        <v>1261</v>
      </c>
      <c r="E31" s="210" t="s">
        <v>1262</v>
      </c>
      <c r="F31" s="34" t="s">
        <v>1263</v>
      </c>
      <c r="K31" s="142"/>
    </row>
    <row r="32" spans="3:11" ht="63">
      <c r="C32" s="20">
        <v>27</v>
      </c>
      <c r="D32" s="35" t="s">
        <v>1264</v>
      </c>
      <c r="E32" s="208" t="s">
        <v>1224</v>
      </c>
      <c r="F32" s="188" t="s">
        <v>1265</v>
      </c>
      <c r="K32" s="142"/>
    </row>
    <row r="33" spans="3:11" ht="63">
      <c r="C33" s="20">
        <v>28</v>
      </c>
      <c r="D33" s="35" t="s">
        <v>1266</v>
      </c>
      <c r="E33" s="208" t="s">
        <v>1267</v>
      </c>
      <c r="F33" s="188" t="s">
        <v>1268</v>
      </c>
      <c r="K33" s="142"/>
    </row>
    <row r="34" spans="3:11" ht="141.75">
      <c r="C34" s="20">
        <v>29</v>
      </c>
      <c r="D34" s="188" t="s">
        <v>1269</v>
      </c>
      <c r="E34" s="14" t="str">
        <f>" Für WOHNIMMOBILIEN-KREDITE markieren Sie bitte je nach Anzahl zu berücksichtigender Währungen/ Länder das entsprechene Feld. Wenn z.B. Wohnimmobilien-Kredite in zwei verschieden Ländern ausgereicht wurden, kreuzen Sie das Kontrollkästchen '" &amp; E1256 &amp; "' an. Es werden dann zwei separate Tabellenblätter erzeugt."</f>
        <v xml:space="preserve"> Für WOHNIMMOBILIEN-KREDITE markieren Sie bitte je nach Anzahl zu berücksichtigender Währungen/ Länder das entsprechene Feld. Wenn z.B. Wohnimmobilien-Kredite in zwei verschieden Ländern ausgereicht wurden, kreuzen Sie das Kontrollkästchen '3.1.2. Wohnimmobilien-Kredite in 2 Ländern /  ausgereicht in 2 Währungen' an. Es werden dann zwei separate Tabellenblätter erzeugt.</v>
      </c>
      <c r="F34" s="188" t="s">
        <v>1270</v>
      </c>
      <c r="K34" s="142"/>
    </row>
    <row r="35" spans="3:11" ht="94.5">
      <c r="C35" s="20">
        <v>30</v>
      </c>
      <c r="D35" s="188" t="s">
        <v>1271</v>
      </c>
      <c r="E35" s="14" t="s">
        <v>1272</v>
      </c>
      <c r="F35" s="188" t="s">
        <v>1273</v>
      </c>
      <c r="K35" s="142"/>
    </row>
    <row r="36" spans="3:11" ht="63">
      <c r="C36" s="20">
        <v>31</v>
      </c>
      <c r="D36" s="188" t="s">
        <v>1274</v>
      </c>
      <c r="E36" s="204" t="s">
        <v>1275</v>
      </c>
      <c r="F36" s="188" t="s">
        <v>1276</v>
      </c>
      <c r="K36" s="142"/>
    </row>
    <row r="37" spans="3:11" ht="47.25">
      <c r="C37" s="20">
        <v>32</v>
      </c>
      <c r="D37" s="206" t="s">
        <v>1277</v>
      </c>
      <c r="E37" s="188" t="s">
        <v>1278</v>
      </c>
      <c r="F37" s="206" t="s">
        <v>1279</v>
      </c>
      <c r="K37" s="142"/>
    </row>
    <row r="38" spans="3:11" ht="15.75">
      <c r="C38" s="20">
        <v>33</v>
      </c>
      <c r="D38" s="35"/>
      <c r="E38" s="14"/>
      <c r="K38" s="142"/>
    </row>
    <row r="39" spans="3:11" ht="13.5" thickBot="1">
      <c r="C39" s="20">
        <v>34</v>
      </c>
      <c r="D39" s="143"/>
      <c r="E39" s="144"/>
      <c r="F39" s="143"/>
      <c r="H39" s="144"/>
      <c r="I39" s="144"/>
      <c r="J39" s="144"/>
      <c r="K39" s="145"/>
    </row>
    <row r="40" spans="3:11" ht="15.75">
      <c r="C40" s="20">
        <v>35</v>
      </c>
      <c r="D40" s="36" t="s">
        <v>1280</v>
      </c>
      <c r="E40" s="18"/>
      <c r="F40" s="217" t="s">
        <v>1281</v>
      </c>
      <c r="K40" s="142"/>
    </row>
    <row r="41" spans="3:11">
      <c r="C41" s="20">
        <v>36</v>
      </c>
      <c r="D41" s="146"/>
      <c r="E41" s="64"/>
      <c r="K41" s="142"/>
    </row>
    <row r="42" spans="3:11">
      <c r="C42" s="20">
        <v>37</v>
      </c>
      <c r="D42" s="146"/>
      <c r="E42" s="64"/>
      <c r="K42" s="142"/>
    </row>
    <row r="43" spans="3:11">
      <c r="C43" s="20">
        <v>38</v>
      </c>
      <c r="D43" s="146"/>
      <c r="E43" s="64"/>
      <c r="K43" s="142"/>
    </row>
    <row r="44" spans="3:11">
      <c r="C44" s="20">
        <v>39</v>
      </c>
      <c r="D44" s="146"/>
      <c r="E44" s="64"/>
      <c r="K44" s="142"/>
    </row>
    <row r="45" spans="3:11">
      <c r="C45" s="20">
        <v>40</v>
      </c>
      <c r="D45" s="146"/>
      <c r="E45" s="64"/>
      <c r="K45" s="142"/>
    </row>
    <row r="46" spans="3:11">
      <c r="C46" s="20">
        <v>41</v>
      </c>
      <c r="D46" s="146"/>
      <c r="E46" s="64"/>
      <c r="K46" s="142"/>
    </row>
    <row r="47" spans="3:11">
      <c r="C47" s="20">
        <v>42</v>
      </c>
      <c r="D47" s="146"/>
      <c r="E47" s="64"/>
      <c r="K47" s="142"/>
    </row>
    <row r="48" spans="3:11">
      <c r="C48" s="20">
        <v>43</v>
      </c>
      <c r="D48" s="146"/>
      <c r="E48" s="64"/>
      <c r="K48" s="142"/>
    </row>
    <row r="49" spans="3:11">
      <c r="C49" s="20">
        <v>44</v>
      </c>
      <c r="D49" s="146"/>
      <c r="E49" s="64"/>
      <c r="K49" s="142"/>
    </row>
    <row r="50" spans="3:11">
      <c r="C50" s="20">
        <v>45</v>
      </c>
      <c r="D50" s="146"/>
      <c r="E50" s="64"/>
      <c r="K50" s="142"/>
    </row>
    <row r="51" spans="3:11">
      <c r="C51" s="20">
        <v>46</v>
      </c>
      <c r="D51" s="146"/>
      <c r="E51" s="64"/>
      <c r="K51" s="142"/>
    </row>
    <row r="52" spans="3:11">
      <c r="C52" s="20">
        <v>47</v>
      </c>
      <c r="D52" s="146"/>
      <c r="E52" s="64"/>
      <c r="K52" s="142"/>
    </row>
    <row r="53" spans="3:11">
      <c r="C53" s="20">
        <v>48</v>
      </c>
      <c r="D53" s="146"/>
      <c r="E53" s="64"/>
      <c r="K53" s="142"/>
    </row>
    <row r="54" spans="3:11">
      <c r="C54" s="20">
        <v>49</v>
      </c>
      <c r="D54" s="146"/>
      <c r="E54" s="64"/>
      <c r="K54" s="142"/>
    </row>
    <row r="55" spans="3:11">
      <c r="C55" s="20">
        <v>50</v>
      </c>
      <c r="D55" s="146"/>
      <c r="E55" s="64"/>
      <c r="K55" s="142"/>
    </row>
    <row r="56" spans="3:11">
      <c r="C56" s="20">
        <v>51</v>
      </c>
      <c r="D56" s="146"/>
      <c r="E56" s="64"/>
      <c r="K56" s="142"/>
    </row>
    <row r="57" spans="3:11">
      <c r="C57" s="20">
        <v>52</v>
      </c>
      <c r="D57" s="146"/>
      <c r="E57" s="64"/>
      <c r="K57" s="142"/>
    </row>
    <row r="58" spans="3:11">
      <c r="C58" s="20">
        <v>53</v>
      </c>
      <c r="D58" s="146"/>
      <c r="E58" s="64"/>
      <c r="K58" s="142"/>
    </row>
    <row r="59" spans="3:11">
      <c r="C59" s="20">
        <v>54</v>
      </c>
      <c r="D59" s="146"/>
      <c r="E59" s="64"/>
      <c r="K59" s="142"/>
    </row>
    <row r="60" spans="3:11">
      <c r="C60" s="20">
        <v>55</v>
      </c>
      <c r="D60" s="146"/>
      <c r="E60" s="64"/>
      <c r="K60" s="142"/>
    </row>
    <row r="61" spans="3:11">
      <c r="C61" s="20">
        <v>56</v>
      </c>
      <c r="D61" s="146"/>
      <c r="E61" s="64"/>
      <c r="K61" s="142"/>
    </row>
    <row r="62" spans="3:11">
      <c r="C62" s="20">
        <v>57</v>
      </c>
      <c r="D62" s="146"/>
      <c r="E62" s="64"/>
      <c r="K62" s="142"/>
    </row>
    <row r="63" spans="3:11">
      <c r="C63" s="20">
        <v>58</v>
      </c>
      <c r="D63" s="146"/>
      <c r="E63" s="64"/>
      <c r="K63" s="142"/>
    </row>
    <row r="64" spans="3:11">
      <c r="C64" s="20">
        <v>59</v>
      </c>
      <c r="D64" s="146"/>
      <c r="E64" s="64"/>
      <c r="K64" s="142"/>
    </row>
    <row r="65" spans="3:11">
      <c r="C65" s="20">
        <v>60</v>
      </c>
      <c r="D65" s="146"/>
      <c r="E65" s="64"/>
      <c r="K65" s="142"/>
    </row>
    <row r="66" spans="3:11">
      <c r="C66" s="20">
        <v>61</v>
      </c>
      <c r="D66" s="146"/>
      <c r="E66" s="64"/>
      <c r="K66" s="142"/>
    </row>
    <row r="67" spans="3:11">
      <c r="C67" s="20">
        <v>62</v>
      </c>
      <c r="D67" s="146"/>
      <c r="E67" s="64"/>
      <c r="K67" s="142"/>
    </row>
    <row r="68" spans="3:11">
      <c r="C68" s="20">
        <v>63</v>
      </c>
      <c r="D68" s="146"/>
      <c r="E68" s="64"/>
      <c r="K68" s="142"/>
    </row>
    <row r="69" spans="3:11">
      <c r="C69" s="20">
        <v>64</v>
      </c>
      <c r="D69" s="146"/>
      <c r="E69" s="64"/>
      <c r="K69" s="142"/>
    </row>
    <row r="70" spans="3:11">
      <c r="C70" s="20">
        <v>65</v>
      </c>
      <c r="D70" s="146"/>
      <c r="E70" s="64"/>
      <c r="K70" s="142"/>
    </row>
    <row r="71" spans="3:11">
      <c r="C71" s="20">
        <v>66</v>
      </c>
      <c r="D71" s="146"/>
      <c r="E71" s="64"/>
      <c r="K71" s="142"/>
    </row>
    <row r="72" spans="3:11">
      <c r="C72" s="20">
        <v>67</v>
      </c>
      <c r="D72" s="146"/>
      <c r="E72" s="64"/>
      <c r="K72" s="142"/>
    </row>
    <row r="73" spans="3:11">
      <c r="C73" s="20">
        <v>68</v>
      </c>
      <c r="D73" s="146"/>
      <c r="E73" s="64"/>
      <c r="K73" s="142"/>
    </row>
    <row r="74" spans="3:11">
      <c r="C74" s="20">
        <v>69</v>
      </c>
      <c r="D74" s="146"/>
      <c r="E74" s="64"/>
      <c r="K74" s="142"/>
    </row>
    <row r="75" spans="3:11">
      <c r="C75" s="20">
        <v>70</v>
      </c>
      <c r="D75" s="146"/>
      <c r="E75" s="64"/>
      <c r="K75" s="142"/>
    </row>
    <row r="76" spans="3:11">
      <c r="C76" s="20">
        <v>71</v>
      </c>
      <c r="D76" s="146"/>
      <c r="E76" s="64"/>
      <c r="K76" s="142"/>
    </row>
    <row r="77" spans="3:11">
      <c r="C77" s="20">
        <v>72</v>
      </c>
      <c r="D77" s="146"/>
      <c r="E77" s="64"/>
      <c r="K77" s="142"/>
    </row>
    <row r="78" spans="3:11">
      <c r="C78" s="20">
        <v>73</v>
      </c>
      <c r="D78" s="146"/>
      <c r="E78" s="64"/>
      <c r="K78" s="142"/>
    </row>
    <row r="79" spans="3:11">
      <c r="C79" s="20">
        <v>74</v>
      </c>
      <c r="D79" s="146"/>
      <c r="E79" s="64"/>
      <c r="K79" s="142"/>
    </row>
    <row r="80" spans="3:11">
      <c r="C80" s="20">
        <v>75</v>
      </c>
      <c r="D80" s="146"/>
      <c r="E80" s="64"/>
      <c r="K80" s="142"/>
    </row>
    <row r="81" spans="3:11">
      <c r="C81" s="20">
        <v>76</v>
      </c>
      <c r="D81" s="146"/>
      <c r="E81" s="64"/>
      <c r="K81" s="142"/>
    </row>
    <row r="82" spans="3:11">
      <c r="C82" s="20">
        <v>77</v>
      </c>
      <c r="D82" s="146"/>
      <c r="E82" s="64"/>
      <c r="K82" s="142"/>
    </row>
    <row r="83" spans="3:11">
      <c r="C83" s="20">
        <v>78</v>
      </c>
      <c r="D83" s="146"/>
      <c r="E83" s="64"/>
      <c r="K83" s="142"/>
    </row>
    <row r="84" spans="3:11">
      <c r="C84" s="20">
        <v>79</v>
      </c>
      <c r="D84" s="146"/>
      <c r="E84" s="64"/>
      <c r="K84" s="142"/>
    </row>
    <row r="85" spans="3:11">
      <c r="C85" s="20">
        <v>80</v>
      </c>
      <c r="D85" s="146"/>
      <c r="E85" s="64"/>
      <c r="K85" s="142"/>
    </row>
    <row r="86" spans="3:11">
      <c r="C86" s="20">
        <v>81</v>
      </c>
      <c r="D86" s="146"/>
      <c r="E86" s="64"/>
      <c r="K86" s="142"/>
    </row>
    <row r="87" spans="3:11">
      <c r="C87" s="20">
        <v>82</v>
      </c>
      <c r="D87" s="146"/>
      <c r="E87" s="64"/>
      <c r="K87" s="142"/>
    </row>
    <row r="88" spans="3:11">
      <c r="C88" s="20">
        <v>83</v>
      </c>
      <c r="D88" s="146"/>
      <c r="E88" s="64"/>
      <c r="K88" s="142"/>
    </row>
    <row r="89" spans="3:11">
      <c r="C89" s="20">
        <v>84</v>
      </c>
      <c r="D89" s="146"/>
      <c r="E89" s="64"/>
      <c r="K89" s="142"/>
    </row>
    <row r="90" spans="3:11">
      <c r="C90" s="20">
        <v>85</v>
      </c>
      <c r="D90" s="146"/>
      <c r="E90" s="64"/>
      <c r="K90" s="142"/>
    </row>
    <row r="91" spans="3:11">
      <c r="C91" s="20">
        <v>86</v>
      </c>
      <c r="D91" s="146"/>
      <c r="E91" s="64"/>
      <c r="K91" s="142"/>
    </row>
    <row r="92" spans="3:11">
      <c r="C92" s="20">
        <v>87</v>
      </c>
      <c r="D92" s="146"/>
      <c r="E92" s="64"/>
      <c r="K92" s="142"/>
    </row>
    <row r="93" spans="3:11">
      <c r="C93" s="20">
        <v>88</v>
      </c>
      <c r="D93" s="146"/>
      <c r="E93" s="64"/>
      <c r="K93" s="142"/>
    </row>
    <row r="94" spans="3:11">
      <c r="C94" s="20">
        <v>89</v>
      </c>
      <c r="D94" s="146"/>
      <c r="E94" s="64"/>
      <c r="K94" s="142"/>
    </row>
    <row r="95" spans="3:11">
      <c r="C95" s="20">
        <v>90</v>
      </c>
      <c r="D95" s="146"/>
      <c r="E95" s="64"/>
      <c r="K95" s="142"/>
    </row>
    <row r="96" spans="3:11">
      <c r="C96" s="20">
        <v>91</v>
      </c>
      <c r="D96" s="146"/>
      <c r="E96" s="64"/>
      <c r="K96" s="142"/>
    </row>
    <row r="97" spans="3:11">
      <c r="C97" s="20">
        <v>92</v>
      </c>
      <c r="D97" s="146"/>
      <c r="E97" s="64"/>
      <c r="K97" s="142"/>
    </row>
    <row r="98" spans="3:11">
      <c r="C98" s="20">
        <v>93</v>
      </c>
      <c r="D98" s="146"/>
      <c r="E98" s="64"/>
      <c r="K98" s="142"/>
    </row>
    <row r="99" spans="3:11">
      <c r="C99" s="20">
        <v>94</v>
      </c>
      <c r="D99" s="146"/>
      <c r="E99" s="64"/>
      <c r="K99" s="142"/>
    </row>
    <row r="100" spans="3:11">
      <c r="C100" s="20">
        <v>95</v>
      </c>
      <c r="D100" s="146"/>
      <c r="E100" s="64"/>
      <c r="K100" s="142"/>
    </row>
    <row r="101" spans="3:11">
      <c r="C101" s="20">
        <v>96</v>
      </c>
      <c r="D101" s="146"/>
      <c r="E101" s="64"/>
      <c r="K101" s="142"/>
    </row>
    <row r="102" spans="3:11">
      <c r="C102" s="20">
        <v>97</v>
      </c>
      <c r="D102" s="146"/>
      <c r="E102" s="64"/>
      <c r="K102" s="142"/>
    </row>
    <row r="103" spans="3:11">
      <c r="C103" s="20">
        <v>98</v>
      </c>
      <c r="D103" s="146"/>
      <c r="E103" s="64"/>
      <c r="K103" s="142"/>
    </row>
    <row r="104" spans="3:11">
      <c r="C104" s="20">
        <v>99</v>
      </c>
      <c r="D104" s="146"/>
      <c r="E104" s="64"/>
      <c r="K104" s="142"/>
    </row>
    <row r="105" spans="3:11">
      <c r="C105" s="20">
        <v>100</v>
      </c>
      <c r="D105" s="146"/>
      <c r="E105" s="64"/>
      <c r="K105" s="142"/>
    </row>
    <row r="106" spans="3:11">
      <c r="C106" s="20">
        <v>101</v>
      </c>
      <c r="D106" s="146"/>
      <c r="E106" s="64"/>
      <c r="K106" s="142"/>
    </row>
    <row r="107" spans="3:11">
      <c r="C107" s="20">
        <v>102</v>
      </c>
      <c r="D107" s="146"/>
      <c r="E107" s="64"/>
      <c r="K107" s="142"/>
    </row>
    <row r="108" spans="3:11">
      <c r="C108" s="20">
        <v>103</v>
      </c>
      <c r="D108" s="146"/>
      <c r="E108" s="64"/>
      <c r="K108" s="142"/>
    </row>
    <row r="109" spans="3:11">
      <c r="C109" s="20">
        <v>104</v>
      </c>
      <c r="D109" s="146"/>
      <c r="E109" s="64"/>
      <c r="K109" s="142"/>
    </row>
    <row r="110" spans="3:11">
      <c r="C110" s="20">
        <v>105</v>
      </c>
      <c r="D110" s="146"/>
      <c r="E110" s="64"/>
      <c r="K110" s="142"/>
    </row>
    <row r="111" spans="3:11">
      <c r="C111" s="20">
        <v>106</v>
      </c>
      <c r="D111" s="146"/>
      <c r="E111" s="64"/>
      <c r="K111" s="142"/>
    </row>
    <row r="112" spans="3:11">
      <c r="C112" s="20">
        <v>107</v>
      </c>
      <c r="D112" s="146"/>
      <c r="E112" s="64"/>
      <c r="K112" s="142"/>
    </row>
    <row r="113" spans="3:11">
      <c r="C113" s="20">
        <v>108</v>
      </c>
      <c r="D113" s="146"/>
      <c r="E113" s="64"/>
      <c r="K113" s="142"/>
    </row>
    <row r="114" spans="3:11">
      <c r="C114" s="20">
        <v>109</v>
      </c>
      <c r="D114" s="146"/>
      <c r="E114" s="64"/>
      <c r="K114" s="142"/>
    </row>
    <row r="115" spans="3:11">
      <c r="C115" s="20">
        <v>110</v>
      </c>
      <c r="D115" s="146"/>
      <c r="E115" s="64"/>
      <c r="K115" s="142"/>
    </row>
    <row r="116" spans="3:11">
      <c r="C116" s="20">
        <v>111</v>
      </c>
      <c r="D116" s="146"/>
      <c r="E116" s="64"/>
      <c r="K116" s="142"/>
    </row>
    <row r="117" spans="3:11">
      <c r="C117" s="20">
        <v>112</v>
      </c>
      <c r="D117" s="146"/>
      <c r="E117" s="64"/>
      <c r="K117" s="142"/>
    </row>
    <row r="118" spans="3:11">
      <c r="C118" s="20">
        <v>113</v>
      </c>
      <c r="D118" s="146"/>
      <c r="E118" s="64"/>
      <c r="K118" s="142"/>
    </row>
    <row r="119" spans="3:11">
      <c r="C119" s="20">
        <v>114</v>
      </c>
      <c r="D119" s="146"/>
      <c r="E119" s="64"/>
      <c r="K119" s="142"/>
    </row>
    <row r="120" spans="3:11">
      <c r="C120" s="20">
        <v>115</v>
      </c>
      <c r="D120" s="146"/>
      <c r="E120" s="64"/>
      <c r="K120" s="142"/>
    </row>
    <row r="121" spans="3:11">
      <c r="C121" s="20">
        <v>116</v>
      </c>
      <c r="D121" s="146"/>
      <c r="E121" s="64"/>
      <c r="K121" s="142"/>
    </row>
    <row r="122" spans="3:11">
      <c r="C122" s="20">
        <v>117</v>
      </c>
      <c r="D122" s="146"/>
      <c r="E122" s="64"/>
      <c r="K122" s="142"/>
    </row>
    <row r="123" spans="3:11">
      <c r="C123" s="20">
        <v>118</v>
      </c>
      <c r="D123" s="146"/>
      <c r="E123" s="64"/>
      <c r="K123" s="142"/>
    </row>
    <row r="124" spans="3:11">
      <c r="C124" s="20">
        <v>119</v>
      </c>
      <c r="D124" s="146"/>
      <c r="E124" s="64"/>
      <c r="K124" s="142"/>
    </row>
    <row r="125" spans="3:11">
      <c r="C125" s="20">
        <v>120</v>
      </c>
      <c r="D125" s="146"/>
      <c r="E125" s="64"/>
      <c r="K125" s="142"/>
    </row>
    <row r="126" spans="3:11">
      <c r="C126" s="20">
        <v>121</v>
      </c>
      <c r="D126" s="146"/>
      <c r="E126" s="64"/>
      <c r="K126" s="142"/>
    </row>
    <row r="127" spans="3:11">
      <c r="C127" s="20">
        <v>122</v>
      </c>
      <c r="D127" s="146"/>
      <c r="E127" s="64"/>
      <c r="K127" s="142"/>
    </row>
    <row r="128" spans="3:11">
      <c r="C128" s="20">
        <v>123</v>
      </c>
      <c r="D128" s="146"/>
      <c r="E128" s="64"/>
      <c r="K128" s="142"/>
    </row>
    <row r="129" spans="3:11">
      <c r="C129" s="20">
        <v>124</v>
      </c>
      <c r="D129" s="146"/>
      <c r="E129" s="64"/>
      <c r="K129" s="142"/>
    </row>
    <row r="130" spans="3:11">
      <c r="C130" s="20">
        <v>125</v>
      </c>
      <c r="D130" s="146"/>
      <c r="E130" s="64"/>
      <c r="K130" s="142"/>
    </row>
    <row r="131" spans="3:11">
      <c r="C131" s="20">
        <v>126</v>
      </c>
      <c r="D131" s="146"/>
      <c r="E131" s="64"/>
      <c r="K131" s="142"/>
    </row>
    <row r="132" spans="3:11">
      <c r="C132" s="20">
        <v>127</v>
      </c>
      <c r="D132" s="146"/>
      <c r="E132" s="64"/>
      <c r="K132" s="142"/>
    </row>
    <row r="133" spans="3:11">
      <c r="C133" s="20">
        <v>128</v>
      </c>
      <c r="D133" s="146"/>
      <c r="E133" s="64"/>
      <c r="K133" s="142"/>
    </row>
    <row r="134" spans="3:11">
      <c r="C134" s="20">
        <v>129</v>
      </c>
      <c r="D134" s="146"/>
      <c r="E134" s="64"/>
      <c r="K134" s="142"/>
    </row>
    <row r="135" spans="3:11">
      <c r="C135" s="20">
        <v>130</v>
      </c>
      <c r="D135" s="146"/>
      <c r="E135" s="64"/>
      <c r="K135" s="142"/>
    </row>
    <row r="136" spans="3:11">
      <c r="C136" s="20">
        <v>131</v>
      </c>
      <c r="D136" s="146"/>
      <c r="E136" s="64"/>
      <c r="K136" s="142"/>
    </row>
    <row r="137" spans="3:11">
      <c r="C137" s="20">
        <v>132</v>
      </c>
      <c r="D137" s="146"/>
      <c r="E137" s="64"/>
      <c r="K137" s="142"/>
    </row>
    <row r="138" spans="3:11">
      <c r="C138" s="20">
        <v>133</v>
      </c>
      <c r="D138" s="146"/>
      <c r="E138" s="64"/>
      <c r="K138" s="142"/>
    </row>
    <row r="139" spans="3:11">
      <c r="C139" s="20">
        <v>134</v>
      </c>
      <c r="D139" s="146"/>
      <c r="E139" s="64"/>
      <c r="K139" s="142"/>
    </row>
    <row r="140" spans="3:11">
      <c r="C140" s="20">
        <v>135</v>
      </c>
      <c r="D140" s="146"/>
      <c r="E140" s="64"/>
      <c r="K140" s="142"/>
    </row>
    <row r="141" spans="3:11">
      <c r="C141" s="20">
        <v>136</v>
      </c>
      <c r="D141" s="146"/>
      <c r="E141" s="64"/>
      <c r="K141" s="142"/>
    </row>
    <row r="142" spans="3:11">
      <c r="C142" s="20">
        <v>137</v>
      </c>
      <c r="D142" s="146"/>
      <c r="E142" s="64"/>
      <c r="K142" s="142"/>
    </row>
    <row r="143" spans="3:11">
      <c r="C143" s="20">
        <v>138</v>
      </c>
      <c r="D143" s="146"/>
      <c r="E143" s="64"/>
      <c r="K143" s="142"/>
    </row>
    <row r="144" spans="3:11">
      <c r="C144" s="20">
        <v>139</v>
      </c>
      <c r="D144" s="146"/>
      <c r="E144" s="64"/>
      <c r="K144" s="142"/>
    </row>
    <row r="145" spans="3:11">
      <c r="C145" s="20">
        <v>140</v>
      </c>
      <c r="D145" s="146"/>
      <c r="E145" s="64"/>
      <c r="K145" s="142"/>
    </row>
    <row r="146" spans="3:11">
      <c r="C146" s="20">
        <v>141</v>
      </c>
      <c r="D146" s="146"/>
      <c r="E146" s="64"/>
      <c r="K146" s="142"/>
    </row>
    <row r="147" spans="3:11">
      <c r="C147" s="20">
        <v>142</v>
      </c>
      <c r="D147" s="146"/>
      <c r="E147" s="64"/>
      <c r="K147" s="142"/>
    </row>
    <row r="148" spans="3:11">
      <c r="C148" s="20">
        <v>143</v>
      </c>
      <c r="D148" s="146"/>
      <c r="E148" s="64"/>
      <c r="K148" s="142"/>
    </row>
    <row r="149" spans="3:11">
      <c r="C149" s="20">
        <v>144</v>
      </c>
      <c r="D149" s="146"/>
      <c r="E149" s="64"/>
      <c r="K149" s="142"/>
    </row>
    <row r="150" spans="3:11">
      <c r="C150" s="20">
        <v>145</v>
      </c>
      <c r="D150" s="146"/>
      <c r="E150" s="64"/>
      <c r="K150" s="142"/>
    </row>
    <row r="151" spans="3:11">
      <c r="C151" s="20">
        <v>146</v>
      </c>
      <c r="D151" s="146"/>
      <c r="E151" s="64"/>
      <c r="K151" s="142"/>
    </row>
    <row r="152" spans="3:11">
      <c r="C152" s="20">
        <v>147</v>
      </c>
      <c r="D152" s="146"/>
      <c r="E152" s="64"/>
      <c r="K152" s="142"/>
    </row>
    <row r="153" spans="3:11">
      <c r="C153" s="20">
        <v>148</v>
      </c>
      <c r="D153" s="146"/>
      <c r="E153" s="64"/>
      <c r="K153" s="142"/>
    </row>
    <row r="154" spans="3:11">
      <c r="C154" s="20">
        <v>149</v>
      </c>
      <c r="D154" s="146"/>
      <c r="E154" s="64"/>
      <c r="K154" s="142"/>
    </row>
    <row r="155" spans="3:11">
      <c r="C155" s="20">
        <v>150</v>
      </c>
      <c r="D155" s="146"/>
      <c r="E155" s="64"/>
      <c r="K155" s="142"/>
    </row>
    <row r="156" spans="3:11">
      <c r="C156" s="20">
        <v>151</v>
      </c>
      <c r="D156" s="146"/>
      <c r="E156" s="64"/>
      <c r="K156" s="142"/>
    </row>
    <row r="157" spans="3:11">
      <c r="C157" s="20">
        <v>152</v>
      </c>
      <c r="D157" s="146"/>
      <c r="E157" s="64"/>
      <c r="K157" s="142"/>
    </row>
    <row r="158" spans="3:11">
      <c r="C158" s="20">
        <v>153</v>
      </c>
      <c r="D158" s="146"/>
      <c r="E158" s="64"/>
      <c r="K158" s="142"/>
    </row>
    <row r="159" spans="3:11">
      <c r="C159" s="20">
        <v>154</v>
      </c>
      <c r="D159" s="146"/>
      <c r="E159" s="64"/>
      <c r="K159" s="142"/>
    </row>
    <row r="160" spans="3:11">
      <c r="C160" s="20">
        <v>155</v>
      </c>
      <c r="D160" s="146"/>
      <c r="E160" s="64"/>
      <c r="K160" s="142"/>
    </row>
    <row r="161" spans="3:11">
      <c r="C161" s="20">
        <v>156</v>
      </c>
      <c r="D161" s="146"/>
      <c r="E161" s="64"/>
      <c r="K161" s="142"/>
    </row>
    <row r="162" spans="3:11">
      <c r="C162" s="20">
        <v>157</v>
      </c>
      <c r="D162" s="146"/>
      <c r="E162" s="64"/>
      <c r="K162" s="142"/>
    </row>
    <row r="163" spans="3:11">
      <c r="C163" s="20">
        <v>158</v>
      </c>
      <c r="D163" s="146"/>
      <c r="E163" s="64"/>
      <c r="K163" s="142"/>
    </row>
    <row r="164" spans="3:11">
      <c r="C164" s="20">
        <v>159</v>
      </c>
      <c r="D164" s="146"/>
      <c r="E164" s="64"/>
      <c r="K164" s="142"/>
    </row>
    <row r="165" spans="3:11">
      <c r="C165" s="20">
        <v>160</v>
      </c>
      <c r="D165" s="146"/>
      <c r="E165" s="64"/>
      <c r="K165" s="142"/>
    </row>
    <row r="166" spans="3:11">
      <c r="C166" s="20">
        <v>161</v>
      </c>
      <c r="D166" s="146"/>
      <c r="E166" s="64"/>
      <c r="K166" s="142"/>
    </row>
    <row r="167" spans="3:11">
      <c r="C167" s="20">
        <v>162</v>
      </c>
      <c r="D167" s="146"/>
      <c r="E167" s="64"/>
      <c r="K167" s="142"/>
    </row>
    <row r="168" spans="3:11">
      <c r="C168" s="20">
        <v>163</v>
      </c>
      <c r="D168" s="146"/>
      <c r="E168" s="64"/>
      <c r="K168" s="142"/>
    </row>
    <row r="169" spans="3:11">
      <c r="C169" s="20">
        <v>164</v>
      </c>
      <c r="D169" s="109" t="s">
        <v>1282</v>
      </c>
      <c r="E169" s="110" t="s">
        <v>1283</v>
      </c>
      <c r="F169" s="109" t="s">
        <v>1284</v>
      </c>
      <c r="K169" s="142"/>
    </row>
    <row r="170" spans="3:11">
      <c r="C170" s="20">
        <v>165</v>
      </c>
      <c r="D170" s="109" t="s">
        <v>1285</v>
      </c>
      <c r="E170" s="110" t="s">
        <v>1286</v>
      </c>
      <c r="F170" s="109" t="s">
        <v>1287</v>
      </c>
      <c r="K170" s="142"/>
    </row>
    <row r="171" spans="3:11" ht="12.75" customHeight="1">
      <c r="C171" s="20">
        <v>166</v>
      </c>
      <c r="D171" s="109" t="s">
        <v>1288</v>
      </c>
      <c r="E171" s="110" t="s">
        <v>1289</v>
      </c>
      <c r="F171" s="109" t="s">
        <v>1290</v>
      </c>
      <c r="K171" s="142"/>
    </row>
    <row r="172" spans="3:11" ht="12.75" customHeight="1" thickBot="1">
      <c r="C172" s="20">
        <v>167</v>
      </c>
      <c r="D172" s="109" t="s">
        <v>1291</v>
      </c>
      <c r="E172" s="110" t="s">
        <v>1292</v>
      </c>
      <c r="F172" s="109" t="s">
        <v>1293</v>
      </c>
      <c r="H172" s="144"/>
      <c r="I172" s="144"/>
      <c r="J172" s="144"/>
      <c r="K172" s="145"/>
    </row>
    <row r="173" spans="3:11" ht="22.5" customHeight="1">
      <c r="C173" s="20">
        <v>168</v>
      </c>
      <c r="D173" s="70" t="s">
        <v>1294</v>
      </c>
      <c r="E173" s="71" t="s">
        <v>1295</v>
      </c>
      <c r="F173" s="70" t="s">
        <v>1296</v>
      </c>
      <c r="K173" s="142"/>
    </row>
    <row r="174" spans="3:11" ht="19.5" customHeight="1">
      <c r="C174" s="20">
        <v>169</v>
      </c>
      <c r="D174" s="72"/>
      <c r="E174" s="73"/>
      <c r="F174" s="72"/>
      <c r="K174" s="142"/>
    </row>
    <row r="175" spans="3:11" ht="12.75" customHeight="1">
      <c r="C175" s="20">
        <v>170</v>
      </c>
      <c r="D175" s="74" t="s">
        <v>1297</v>
      </c>
      <c r="E175" s="75" t="s">
        <v>1298</v>
      </c>
      <c r="F175" s="83" t="s">
        <v>1299</v>
      </c>
      <c r="K175" s="142"/>
    </row>
    <row r="176" spans="3:11" ht="12.75" customHeight="1">
      <c r="C176" s="20">
        <v>171</v>
      </c>
      <c r="D176" s="76"/>
      <c r="E176" s="12"/>
      <c r="F176" s="105"/>
      <c r="K176" s="142"/>
    </row>
    <row r="177" spans="3:11" ht="12.75" customHeight="1">
      <c r="C177" s="20">
        <v>172</v>
      </c>
      <c r="D177" s="77" t="s">
        <v>1300</v>
      </c>
      <c r="E177" s="78" t="s">
        <v>1301</v>
      </c>
      <c r="F177" s="86" t="s">
        <v>1302</v>
      </c>
      <c r="K177" s="142"/>
    </row>
    <row r="178" spans="3:11" ht="12.75" customHeight="1">
      <c r="C178" s="20">
        <v>173</v>
      </c>
      <c r="D178" s="79" t="s">
        <v>1303</v>
      </c>
      <c r="E178" s="80" t="s">
        <v>1304</v>
      </c>
      <c r="F178" s="133" t="s">
        <v>1305</v>
      </c>
      <c r="K178" s="142"/>
    </row>
    <row r="179" spans="3:11" ht="12.75" customHeight="1">
      <c r="C179" s="20">
        <v>174</v>
      </c>
      <c r="D179" s="79" t="s">
        <v>1306</v>
      </c>
      <c r="E179" s="80" t="s">
        <v>1307</v>
      </c>
      <c r="F179" s="133" t="s">
        <v>1308</v>
      </c>
      <c r="K179" s="142"/>
    </row>
    <row r="180" spans="3:11" ht="12.75" customHeight="1">
      <c r="C180" s="20">
        <v>175</v>
      </c>
      <c r="D180" s="79" t="s">
        <v>1309</v>
      </c>
      <c r="E180" s="80" t="s">
        <v>1310</v>
      </c>
      <c r="F180" s="133" t="s">
        <v>1311</v>
      </c>
      <c r="K180" s="142"/>
    </row>
    <row r="181" spans="3:11" ht="12.75" customHeight="1">
      <c r="C181" s="20">
        <v>176</v>
      </c>
      <c r="D181" s="81" t="s">
        <v>1312</v>
      </c>
      <c r="E181" s="82" t="s">
        <v>1313</v>
      </c>
      <c r="F181" s="218" t="s">
        <v>1314</v>
      </c>
      <c r="K181" s="142"/>
    </row>
    <row r="182" spans="3:11" ht="12.75" customHeight="1">
      <c r="C182" s="20">
        <v>177</v>
      </c>
      <c r="D182" s="76"/>
      <c r="E182" s="59"/>
      <c r="F182" s="105"/>
      <c r="K182" s="142"/>
    </row>
    <row r="183" spans="3:11" ht="12.75" customHeight="1">
      <c r="C183" s="20">
        <v>178</v>
      </c>
      <c r="D183" s="147"/>
      <c r="E183" s="59"/>
      <c r="F183" s="219"/>
      <c r="K183" s="142"/>
    </row>
    <row r="184" spans="3:11" ht="52.5" customHeight="1">
      <c r="C184" s="20">
        <v>179</v>
      </c>
      <c r="D184" s="83" t="s">
        <v>1315</v>
      </c>
      <c r="E184" s="84" t="s">
        <v>1316</v>
      </c>
      <c r="F184" s="83" t="s">
        <v>1317</v>
      </c>
      <c r="K184" s="142"/>
    </row>
    <row r="185" spans="3:11" ht="12.75" customHeight="1">
      <c r="C185" s="20">
        <v>180</v>
      </c>
      <c r="D185" s="76"/>
      <c r="E185" s="59"/>
      <c r="F185" s="105"/>
      <c r="K185" s="142"/>
    </row>
    <row r="186" spans="3:11" ht="12.75" customHeight="1">
      <c r="C186" s="20">
        <v>181</v>
      </c>
      <c r="D186" s="85" t="s">
        <v>1318</v>
      </c>
      <c r="E186" s="58" t="s">
        <v>1319</v>
      </c>
      <c r="F186" s="220" t="s">
        <v>1320</v>
      </c>
      <c r="K186" s="142"/>
    </row>
    <row r="187" spans="3:11" ht="12.75" customHeight="1">
      <c r="C187" s="20">
        <v>182</v>
      </c>
      <c r="D187" s="146"/>
      <c r="E187" s="59"/>
      <c r="F187" s="146"/>
      <c r="K187" s="142"/>
    </row>
    <row r="188" spans="3:11" ht="12.75" customHeight="1">
      <c r="C188" s="20">
        <v>183</v>
      </c>
      <c r="D188" s="86" t="s">
        <v>1321</v>
      </c>
      <c r="E188" s="87" t="s">
        <v>1321</v>
      </c>
      <c r="F188" s="86" t="s">
        <v>1321</v>
      </c>
      <c r="K188" s="142"/>
    </row>
    <row r="189" spans="3:11" ht="12.75" customHeight="1">
      <c r="C189" s="20">
        <v>184</v>
      </c>
      <c r="D189" s="255" t="s">
        <v>1322</v>
      </c>
      <c r="E189" s="256" t="s">
        <v>1322</v>
      </c>
      <c r="F189" s="255" t="s">
        <v>1322</v>
      </c>
      <c r="K189" s="142"/>
    </row>
    <row r="190" spans="3:11" ht="12.75" customHeight="1">
      <c r="C190" s="20">
        <v>185</v>
      </c>
      <c r="D190" s="88" t="s">
        <v>1323</v>
      </c>
      <c r="E190" s="89" t="s">
        <v>1324</v>
      </c>
      <c r="F190" s="88" t="s">
        <v>1325</v>
      </c>
      <c r="K190" s="142"/>
    </row>
    <row r="191" spans="3:11" ht="12.75" customHeight="1">
      <c r="C191" s="20">
        <v>186</v>
      </c>
      <c r="D191" s="88" t="s">
        <v>1326</v>
      </c>
      <c r="E191" s="89" t="s">
        <v>1327</v>
      </c>
      <c r="F191" s="88" t="s">
        <v>1328</v>
      </c>
      <c r="K191" s="142"/>
    </row>
    <row r="192" spans="3:11" ht="12.75" customHeight="1">
      <c r="C192" s="20">
        <v>187</v>
      </c>
      <c r="D192" s="88" t="s">
        <v>1329</v>
      </c>
      <c r="E192" s="89" t="s">
        <v>1330</v>
      </c>
      <c r="F192" s="88" t="s">
        <v>1331</v>
      </c>
      <c r="K192" s="142"/>
    </row>
    <row r="193" spans="3:11" ht="12.75" customHeight="1">
      <c r="C193" s="20">
        <v>188</v>
      </c>
      <c r="D193" s="88" t="s">
        <v>1332</v>
      </c>
      <c r="E193" s="89" t="s">
        <v>1333</v>
      </c>
      <c r="F193" s="88" t="s">
        <v>1334</v>
      </c>
      <c r="K193" s="142"/>
    </row>
    <row r="194" spans="3:11" ht="12.75" customHeight="1">
      <c r="C194" s="20">
        <v>189</v>
      </c>
      <c r="D194" s="88" t="s">
        <v>1335</v>
      </c>
      <c r="E194" s="89" t="s">
        <v>1336</v>
      </c>
      <c r="F194" s="88" t="s">
        <v>1337</v>
      </c>
      <c r="K194" s="142"/>
    </row>
    <row r="195" spans="3:11" ht="12.75" customHeight="1">
      <c r="C195" s="20">
        <v>190</v>
      </c>
      <c r="D195" s="88" t="s">
        <v>1338</v>
      </c>
      <c r="E195" s="89" t="s">
        <v>1339</v>
      </c>
      <c r="F195" s="88" t="s">
        <v>1340</v>
      </c>
      <c r="K195" s="142"/>
    </row>
    <row r="196" spans="3:11" ht="12.75" customHeight="1">
      <c r="C196" s="20">
        <v>191</v>
      </c>
      <c r="D196" s="90" t="s">
        <v>1341</v>
      </c>
      <c r="E196" s="91" t="s">
        <v>1342</v>
      </c>
      <c r="F196" s="90" t="s">
        <v>1343</v>
      </c>
      <c r="K196" s="142"/>
    </row>
    <row r="197" spans="3:11" ht="12.75" customHeight="1">
      <c r="C197" s="20">
        <v>192</v>
      </c>
      <c r="D197" s="88" t="s">
        <v>1344</v>
      </c>
      <c r="E197" s="89" t="s">
        <v>1345</v>
      </c>
      <c r="F197" s="88" t="s">
        <v>1346</v>
      </c>
      <c r="K197" s="142"/>
    </row>
    <row r="198" spans="3:11" ht="12.75" customHeight="1">
      <c r="C198" s="20">
        <v>193</v>
      </c>
      <c r="D198" s="90" t="s">
        <v>1347</v>
      </c>
      <c r="E198" s="91" t="s">
        <v>1348</v>
      </c>
      <c r="F198" s="90" t="s">
        <v>1343</v>
      </c>
      <c r="K198" s="142"/>
    </row>
    <row r="199" spans="3:11" ht="12.75" customHeight="1">
      <c r="C199" s="20">
        <v>194</v>
      </c>
      <c r="D199" s="88" t="s">
        <v>1349</v>
      </c>
      <c r="E199" s="89" t="s">
        <v>1350</v>
      </c>
      <c r="F199" s="88" t="s">
        <v>1351</v>
      </c>
      <c r="K199" s="142"/>
    </row>
    <row r="200" spans="3:11" ht="12.75" customHeight="1">
      <c r="C200" s="20">
        <v>195</v>
      </c>
      <c r="D200" s="88" t="s">
        <v>1352</v>
      </c>
      <c r="E200" s="89" t="s">
        <v>1353</v>
      </c>
      <c r="F200" s="88" t="s">
        <v>1354</v>
      </c>
      <c r="K200" s="142"/>
    </row>
    <row r="201" spans="3:11" ht="12.75" customHeight="1">
      <c r="C201" s="20">
        <v>196</v>
      </c>
      <c r="D201" s="88" t="s">
        <v>1355</v>
      </c>
      <c r="E201" s="89" t="s">
        <v>1356</v>
      </c>
      <c r="F201" s="88" t="s">
        <v>1357</v>
      </c>
      <c r="K201" s="142"/>
    </row>
    <row r="202" spans="3:11" ht="12.75" customHeight="1">
      <c r="C202" s="20">
        <v>197</v>
      </c>
      <c r="D202" s="146"/>
      <c r="E202" s="64"/>
      <c r="K202" s="142"/>
    </row>
    <row r="203" spans="3:11" ht="12.75" customHeight="1" thickBot="1">
      <c r="C203" s="20">
        <v>198</v>
      </c>
      <c r="D203" s="143"/>
      <c r="E203" s="144"/>
      <c r="F203" s="143"/>
      <c r="H203" s="144"/>
      <c r="I203" s="144"/>
      <c r="J203" s="144"/>
      <c r="K203" s="145"/>
    </row>
    <row r="204" spans="3:11" ht="22.5">
      <c r="C204" s="20">
        <v>199</v>
      </c>
      <c r="D204" s="70" t="s">
        <v>1358</v>
      </c>
      <c r="E204" s="183" t="s">
        <v>1359</v>
      </c>
      <c r="F204" s="70" t="s">
        <v>1360</v>
      </c>
      <c r="K204" s="142"/>
    </row>
    <row r="205" spans="3:11" ht="12.75" customHeight="1">
      <c r="C205" s="20">
        <v>200</v>
      </c>
      <c r="D205" s="146"/>
      <c r="E205" s="64"/>
      <c r="F205" s="146"/>
      <c r="K205" s="142"/>
    </row>
    <row r="206" spans="3:11" ht="12.75" customHeight="1">
      <c r="C206" s="20">
        <v>201</v>
      </c>
      <c r="D206" s="37" t="s">
        <v>1361</v>
      </c>
      <c r="E206" s="23" t="s">
        <v>1362</v>
      </c>
      <c r="F206" s="37" t="s">
        <v>1363</v>
      </c>
      <c r="K206" s="142"/>
    </row>
    <row r="207" spans="3:11" ht="47.25" customHeight="1">
      <c r="C207" s="20">
        <v>202</v>
      </c>
      <c r="D207" s="37" t="s">
        <v>1364</v>
      </c>
      <c r="E207" s="23" t="s">
        <v>1365</v>
      </c>
      <c r="F207" s="37" t="s">
        <v>1366</v>
      </c>
      <c r="K207" s="142"/>
    </row>
    <row r="208" spans="3:11" ht="39.75" customHeight="1">
      <c r="C208" s="20">
        <v>203</v>
      </c>
      <c r="D208" s="37" t="s">
        <v>1367</v>
      </c>
      <c r="E208" s="23" t="s">
        <v>1368</v>
      </c>
      <c r="F208" s="37" t="s">
        <v>1369</v>
      </c>
      <c r="K208" s="142"/>
    </row>
    <row r="209" spans="3:11" ht="12.75" customHeight="1">
      <c r="C209" s="20">
        <v>204</v>
      </c>
      <c r="D209" s="37" t="s">
        <v>1370</v>
      </c>
      <c r="E209" s="257" t="s">
        <v>1371</v>
      </c>
      <c r="F209" s="37" t="s">
        <v>1372</v>
      </c>
      <c r="K209" s="142"/>
    </row>
    <row r="210" spans="3:11" ht="12.75" customHeight="1">
      <c r="C210" s="20">
        <v>205</v>
      </c>
      <c r="D210" s="37" t="s">
        <v>1373</v>
      </c>
      <c r="E210" s="257" t="s">
        <v>1371</v>
      </c>
      <c r="F210" s="37" t="s">
        <v>1374</v>
      </c>
      <c r="K210" s="142"/>
    </row>
    <row r="211" spans="3:11" ht="12.75" customHeight="1">
      <c r="C211" s="20">
        <v>206</v>
      </c>
      <c r="D211" s="37" t="s">
        <v>1375</v>
      </c>
      <c r="E211" s="257" t="s">
        <v>1371</v>
      </c>
      <c r="F211" s="37" t="s">
        <v>1376</v>
      </c>
      <c r="K211" s="142"/>
    </row>
    <row r="212" spans="3:11" ht="12.75" customHeight="1">
      <c r="C212" s="20">
        <v>207</v>
      </c>
      <c r="D212" s="37" t="s">
        <v>1377</v>
      </c>
      <c r="E212" s="23" t="s">
        <v>1378</v>
      </c>
      <c r="F212" s="37" t="s">
        <v>1379</v>
      </c>
      <c r="K212" s="142"/>
    </row>
    <row r="213" spans="3:11" ht="12.75" customHeight="1">
      <c r="C213" s="20">
        <v>208</v>
      </c>
      <c r="D213" s="148"/>
      <c r="E213" s="328"/>
      <c r="F213" s="221"/>
      <c r="K213" s="142"/>
    </row>
    <row r="214" spans="3:11" ht="12.75" customHeight="1">
      <c r="C214" s="20">
        <v>209</v>
      </c>
      <c r="D214" s="38" t="s">
        <v>1380</v>
      </c>
      <c r="E214" s="24" t="s">
        <v>1381</v>
      </c>
      <c r="F214" s="38" t="s">
        <v>1382</v>
      </c>
      <c r="K214" s="142"/>
    </row>
    <row r="215" spans="3:11" ht="12.75" customHeight="1">
      <c r="C215" s="20">
        <v>210</v>
      </c>
      <c r="D215" s="38" t="s">
        <v>1383</v>
      </c>
      <c r="E215" s="24" t="s">
        <v>1384</v>
      </c>
      <c r="F215" s="38" t="s">
        <v>1385</v>
      </c>
      <c r="K215" s="142"/>
    </row>
    <row r="216" spans="3:11" ht="12.75" customHeight="1">
      <c r="C216" s="20">
        <v>211</v>
      </c>
      <c r="D216" s="38" t="s">
        <v>1386</v>
      </c>
      <c r="E216" s="24" t="s">
        <v>1387</v>
      </c>
      <c r="F216" s="38" t="s">
        <v>1388</v>
      </c>
      <c r="K216" s="142"/>
    </row>
    <row r="217" spans="3:11" ht="12.75" customHeight="1">
      <c r="C217" s="20">
        <v>212</v>
      </c>
      <c r="D217" s="146"/>
      <c r="E217" s="64"/>
      <c r="F217" s="146"/>
      <c r="K217" s="142"/>
    </row>
    <row r="218" spans="3:11" ht="12.75" customHeight="1">
      <c r="C218" s="20">
        <v>213</v>
      </c>
      <c r="D218" s="37" t="s">
        <v>1361</v>
      </c>
      <c r="E218" s="23" t="s">
        <v>1362</v>
      </c>
      <c r="F218" s="37" t="s">
        <v>1363</v>
      </c>
      <c r="K218" s="142"/>
    </row>
    <row r="219" spans="3:11" ht="12.75" customHeight="1">
      <c r="C219" s="20">
        <v>214</v>
      </c>
      <c r="D219" s="37" t="s">
        <v>1370</v>
      </c>
      <c r="E219" s="257" t="s">
        <v>1371</v>
      </c>
      <c r="F219" s="37" t="s">
        <v>1372</v>
      </c>
      <c r="K219" s="142"/>
    </row>
    <row r="220" spans="3:11" ht="12.75" customHeight="1">
      <c r="C220" s="20">
        <v>215</v>
      </c>
      <c r="D220" s="37" t="s">
        <v>1389</v>
      </c>
      <c r="E220" s="257" t="s">
        <v>1371</v>
      </c>
      <c r="F220" s="37" t="s">
        <v>1374</v>
      </c>
      <c r="K220" s="142"/>
    </row>
    <row r="221" spans="3:11" ht="12.75" customHeight="1">
      <c r="C221" s="20">
        <v>216</v>
      </c>
      <c r="D221" s="37" t="s">
        <v>1377</v>
      </c>
      <c r="E221" s="23" t="s">
        <v>1378</v>
      </c>
      <c r="F221" s="37" t="s">
        <v>1379</v>
      </c>
      <c r="K221" s="142"/>
    </row>
    <row r="222" spans="3:11" ht="12.75" customHeight="1">
      <c r="C222" s="20">
        <v>217</v>
      </c>
      <c r="D222" s="38" t="s">
        <v>1390</v>
      </c>
      <c r="E222" s="24" t="s">
        <v>1391</v>
      </c>
      <c r="F222" s="38" t="s">
        <v>1392</v>
      </c>
      <c r="K222" s="142"/>
    </row>
    <row r="223" spans="3:11" ht="38.25">
      <c r="C223" s="20">
        <v>218</v>
      </c>
      <c r="D223" s="38" t="s">
        <v>1393</v>
      </c>
      <c r="E223" s="258" t="s">
        <v>1394</v>
      </c>
      <c r="F223" s="38" t="s">
        <v>1395</v>
      </c>
      <c r="K223" s="142"/>
    </row>
    <row r="224" spans="3:11" ht="12.75" customHeight="1">
      <c r="C224" s="20">
        <v>219</v>
      </c>
      <c r="D224" s="147"/>
      <c r="E224" s="283"/>
      <c r="F224" s="219"/>
      <c r="K224" s="142"/>
    </row>
    <row r="225" spans="3:11" ht="12.75" customHeight="1">
      <c r="C225" s="20">
        <v>220</v>
      </c>
      <c r="D225" s="39" t="s">
        <v>1396</v>
      </c>
      <c r="E225" s="1" t="s">
        <v>1397</v>
      </c>
      <c r="F225" s="222" t="s">
        <v>1398</v>
      </c>
      <c r="K225" s="142"/>
    </row>
    <row r="226" spans="3:11" ht="15.75" customHeight="1">
      <c r="C226" s="20">
        <v>221</v>
      </c>
      <c r="D226" s="40" t="s">
        <v>1399</v>
      </c>
      <c r="E226" s="16" t="s">
        <v>1400</v>
      </c>
      <c r="F226" s="223" t="s">
        <v>1401</v>
      </c>
      <c r="K226" s="142"/>
    </row>
    <row r="227" spans="3:11" ht="15.75" customHeight="1">
      <c r="C227" s="20">
        <v>222</v>
      </c>
      <c r="D227" s="38" t="s">
        <v>1402</v>
      </c>
      <c r="E227" s="24" t="s">
        <v>1403</v>
      </c>
      <c r="F227" s="186" t="s">
        <v>1404</v>
      </c>
      <c r="K227" s="142"/>
    </row>
    <row r="228" spans="3:11" ht="12.75" customHeight="1">
      <c r="C228" s="20">
        <v>223</v>
      </c>
      <c r="D228" s="41" t="s">
        <v>1405</v>
      </c>
      <c r="E228" s="25" t="s">
        <v>1406</v>
      </c>
      <c r="F228" s="38" t="s">
        <v>1407</v>
      </c>
      <c r="K228" s="142"/>
    </row>
    <row r="229" spans="3:11" ht="12.75" customHeight="1">
      <c r="C229" s="20">
        <v>224</v>
      </c>
      <c r="D229" s="39"/>
      <c r="E229" s="64"/>
      <c r="F229" s="222"/>
      <c r="K229" s="142"/>
    </row>
    <row r="230" spans="3:11" ht="12.75" customHeight="1">
      <c r="C230" s="20">
        <v>225</v>
      </c>
      <c r="D230" s="40" t="s">
        <v>1408</v>
      </c>
      <c r="E230" s="16" t="s">
        <v>1409</v>
      </c>
      <c r="F230" s="223" t="s">
        <v>1410</v>
      </c>
      <c r="K230" s="142"/>
    </row>
    <row r="231" spans="3:11" ht="12.75" customHeight="1">
      <c r="C231" s="20">
        <v>226</v>
      </c>
      <c r="D231" s="41" t="s">
        <v>1411</v>
      </c>
      <c r="E231" s="25" t="s">
        <v>1412</v>
      </c>
      <c r="F231" s="38" t="s">
        <v>1413</v>
      </c>
      <c r="K231" s="142"/>
    </row>
    <row r="232" spans="3:11" ht="15.75" customHeight="1">
      <c r="C232" s="20">
        <v>227</v>
      </c>
      <c r="D232" s="41" t="s">
        <v>1414</v>
      </c>
      <c r="E232" s="25" t="s">
        <v>1415</v>
      </c>
      <c r="F232" s="38" t="s">
        <v>1416</v>
      </c>
      <c r="K232" s="142"/>
    </row>
    <row r="233" spans="3:11" ht="15.75" customHeight="1">
      <c r="C233" s="20">
        <v>228</v>
      </c>
      <c r="D233" s="41" t="s">
        <v>1417</v>
      </c>
      <c r="E233" s="25" t="s">
        <v>1418</v>
      </c>
      <c r="F233" s="38" t="s">
        <v>1419</v>
      </c>
      <c r="K233" s="142"/>
    </row>
    <row r="234" spans="3:11" ht="15.75" customHeight="1">
      <c r="C234" s="20">
        <v>229</v>
      </c>
      <c r="D234" s="41" t="s">
        <v>1420</v>
      </c>
      <c r="E234" s="25" t="s">
        <v>1421</v>
      </c>
      <c r="F234" s="38" t="s">
        <v>1422</v>
      </c>
      <c r="K234" s="142"/>
    </row>
    <row r="235" spans="3:11" ht="15.75" customHeight="1">
      <c r="C235" s="20">
        <v>230</v>
      </c>
      <c r="D235" s="41" t="s">
        <v>1423</v>
      </c>
      <c r="E235" s="25" t="s">
        <v>1424</v>
      </c>
      <c r="F235" s="38" t="s">
        <v>1425</v>
      </c>
      <c r="K235" s="142"/>
    </row>
    <row r="236" spans="3:11" ht="15.75" customHeight="1">
      <c r="C236" s="20">
        <v>231</v>
      </c>
      <c r="D236" s="41" t="s">
        <v>1426</v>
      </c>
      <c r="E236" s="25" t="s">
        <v>1427</v>
      </c>
      <c r="F236" s="38" t="s">
        <v>1428</v>
      </c>
      <c r="K236" s="142"/>
    </row>
    <row r="237" spans="3:11" ht="15.75" customHeight="1">
      <c r="C237" s="20">
        <v>232</v>
      </c>
      <c r="D237" s="41" t="s">
        <v>1429</v>
      </c>
      <c r="E237" s="25" t="s">
        <v>1430</v>
      </c>
      <c r="F237" s="38" t="s">
        <v>1431</v>
      </c>
      <c r="K237" s="142"/>
    </row>
    <row r="238" spans="3:11" ht="15.75" customHeight="1">
      <c r="C238" s="20">
        <v>233</v>
      </c>
      <c r="D238" s="41" t="s">
        <v>1432</v>
      </c>
      <c r="E238" s="25" t="s">
        <v>1433</v>
      </c>
      <c r="F238" s="38" t="s">
        <v>1434</v>
      </c>
      <c r="K238" s="142"/>
    </row>
    <row r="239" spans="3:11" ht="15.75" customHeight="1">
      <c r="C239" s="20">
        <v>234</v>
      </c>
      <c r="D239" s="41" t="s">
        <v>1435</v>
      </c>
      <c r="E239" s="25" t="s">
        <v>1436</v>
      </c>
      <c r="F239" s="38" t="s">
        <v>1437</v>
      </c>
      <c r="K239" s="142"/>
    </row>
    <row r="240" spans="3:11" ht="15.75" customHeight="1">
      <c r="C240" s="20">
        <v>235</v>
      </c>
      <c r="D240" s="41" t="s">
        <v>1438</v>
      </c>
      <c r="E240" s="25" t="s">
        <v>1439</v>
      </c>
      <c r="F240" s="38" t="s">
        <v>1440</v>
      </c>
      <c r="K240" s="142"/>
    </row>
    <row r="241" spans="3:11">
      <c r="C241" s="20">
        <v>236</v>
      </c>
      <c r="D241" s="39"/>
      <c r="E241" s="64"/>
      <c r="F241" s="222"/>
      <c r="K241" s="142"/>
    </row>
    <row r="242" spans="3:11" ht="44.45" customHeight="1">
      <c r="C242" s="20">
        <v>237</v>
      </c>
      <c r="D242" s="31" t="s">
        <v>1441</v>
      </c>
      <c r="E242" s="20" t="s">
        <v>1442</v>
      </c>
      <c r="F242" s="31" t="s">
        <v>1443</v>
      </c>
      <c r="K242" s="142"/>
    </row>
    <row r="243" spans="3:11">
      <c r="C243" s="20">
        <v>238</v>
      </c>
      <c r="D243" s="42" t="s">
        <v>1444</v>
      </c>
      <c r="E243" s="26" t="s">
        <v>1445</v>
      </c>
      <c r="F243" s="42" t="s">
        <v>1446</v>
      </c>
      <c r="K243" s="142"/>
    </row>
    <row r="244" spans="3:11">
      <c r="C244" s="20">
        <v>239</v>
      </c>
      <c r="D244" s="43" t="s">
        <v>1447</v>
      </c>
      <c r="E244" s="27" t="s">
        <v>1448</v>
      </c>
      <c r="F244" s="42" t="s">
        <v>1449</v>
      </c>
      <c r="K244" s="142"/>
    </row>
    <row r="245" spans="3:11">
      <c r="C245" s="20">
        <v>240</v>
      </c>
      <c r="D245" s="44" t="s">
        <v>1450</v>
      </c>
      <c r="E245" s="28" t="s">
        <v>1451</v>
      </c>
      <c r="F245" s="44" t="s">
        <v>1452</v>
      </c>
      <c r="K245" s="142"/>
    </row>
    <row r="246" spans="3:11">
      <c r="C246" s="20">
        <v>241</v>
      </c>
      <c r="D246" s="42" t="s">
        <v>1453</v>
      </c>
      <c r="E246" s="26" t="s">
        <v>1454</v>
      </c>
      <c r="F246" s="42" t="s">
        <v>1455</v>
      </c>
      <c r="K246" s="142"/>
    </row>
    <row r="247" spans="3:11" ht="25.5">
      <c r="C247" s="20">
        <v>242</v>
      </c>
      <c r="D247" s="42" t="s">
        <v>1456</v>
      </c>
      <c r="E247" s="26" t="s">
        <v>1457</v>
      </c>
      <c r="F247" s="42" t="s">
        <v>1458</v>
      </c>
      <c r="K247" s="142"/>
    </row>
    <row r="248" spans="3:11" ht="25.5">
      <c r="C248" s="20">
        <v>243</v>
      </c>
      <c r="D248" s="42" t="s">
        <v>1459</v>
      </c>
      <c r="E248" s="26" t="s">
        <v>1460</v>
      </c>
      <c r="F248" s="42" t="s">
        <v>1461</v>
      </c>
      <c r="K248" s="142"/>
    </row>
    <row r="249" spans="3:11" ht="63.75">
      <c r="C249" s="20">
        <v>244</v>
      </c>
      <c r="D249" s="42" t="s">
        <v>1462</v>
      </c>
      <c r="E249" s="26" t="s">
        <v>1463</v>
      </c>
      <c r="F249" s="42" t="s">
        <v>1464</v>
      </c>
      <c r="K249" s="142"/>
    </row>
    <row r="250" spans="3:11">
      <c r="C250" s="20">
        <v>245</v>
      </c>
      <c r="D250" s="146"/>
      <c r="E250" s="64"/>
      <c r="K250" s="142"/>
    </row>
    <row r="251" spans="3:11" ht="13.5" thickBot="1">
      <c r="C251" s="20">
        <v>246</v>
      </c>
      <c r="D251" s="143"/>
      <c r="E251" s="144"/>
      <c r="F251" s="143"/>
      <c r="H251" s="144"/>
      <c r="I251" s="144"/>
      <c r="J251" s="144"/>
      <c r="K251" s="145"/>
    </row>
    <row r="252" spans="3:11" ht="19.5" customHeight="1">
      <c r="C252" s="20">
        <v>247</v>
      </c>
      <c r="D252" s="49" t="s">
        <v>1465</v>
      </c>
      <c r="E252" s="9" t="s">
        <v>1466</v>
      </c>
      <c r="F252" s="95" t="s">
        <v>1467</v>
      </c>
      <c r="K252" s="142"/>
    </row>
    <row r="253" spans="3:11" ht="19.5" customHeight="1">
      <c r="C253" s="20">
        <v>248</v>
      </c>
      <c r="D253" s="92"/>
      <c r="E253" s="93"/>
      <c r="F253" s="72"/>
      <c r="K253" s="142"/>
    </row>
    <row r="254" spans="3:11" ht="12.75" customHeight="1">
      <c r="C254" s="20">
        <v>249</v>
      </c>
      <c r="D254" s="39" t="s">
        <v>1468</v>
      </c>
      <c r="E254" s="1" t="s">
        <v>1469</v>
      </c>
      <c r="F254" s="222" t="s">
        <v>1470</v>
      </c>
      <c r="K254" s="142"/>
    </row>
    <row r="255" spans="3:11" ht="12.75" customHeight="1">
      <c r="C255" s="20">
        <v>250</v>
      </c>
      <c r="D255" s="77" t="s">
        <v>48</v>
      </c>
      <c r="E255" s="78" t="s">
        <v>588</v>
      </c>
      <c r="F255" s="86" t="s">
        <v>1471</v>
      </c>
      <c r="K255" s="142"/>
    </row>
    <row r="256" spans="3:11" ht="12.75" customHeight="1">
      <c r="C256" s="20">
        <v>251</v>
      </c>
      <c r="D256" s="60" t="s">
        <v>1472</v>
      </c>
      <c r="E256" s="60" t="s">
        <v>1473</v>
      </c>
      <c r="F256" s="60" t="s">
        <v>1474</v>
      </c>
      <c r="K256" s="142"/>
    </row>
    <row r="257" spans="3:11" ht="12.75" customHeight="1">
      <c r="C257" s="20">
        <v>252</v>
      </c>
      <c r="D257" s="79" t="s">
        <v>1475</v>
      </c>
      <c r="E257" s="80" t="s">
        <v>1476</v>
      </c>
      <c r="F257" s="133" t="s">
        <v>1477</v>
      </c>
      <c r="K257" s="142"/>
    </row>
    <row r="258" spans="3:11" ht="12.75" customHeight="1">
      <c r="C258" s="20">
        <v>253</v>
      </c>
      <c r="D258" s="79"/>
      <c r="E258" s="80"/>
      <c r="F258" s="133"/>
      <c r="K258" s="142"/>
    </row>
    <row r="259" spans="3:11" ht="12.75" customHeight="1">
      <c r="C259" s="20">
        <v>254</v>
      </c>
      <c r="D259" s="79" t="s">
        <v>1478</v>
      </c>
      <c r="E259" s="80" t="s">
        <v>1479</v>
      </c>
      <c r="F259" s="133" t="s">
        <v>1480</v>
      </c>
      <c r="K259" s="142"/>
    </row>
    <row r="260" spans="3:11" ht="12.75" customHeight="1">
      <c r="C260" s="20">
        <v>255</v>
      </c>
      <c r="D260" s="79" t="s">
        <v>1481</v>
      </c>
      <c r="E260" s="80" t="s">
        <v>1482</v>
      </c>
      <c r="F260" s="133" t="s">
        <v>1483</v>
      </c>
      <c r="K260" s="142"/>
    </row>
    <row r="261" spans="3:11" ht="12.75" customHeight="1">
      <c r="C261" s="20">
        <v>256</v>
      </c>
      <c r="D261" s="79" t="s">
        <v>1484</v>
      </c>
      <c r="E261" s="80" t="s">
        <v>1485</v>
      </c>
      <c r="F261" s="133" t="s">
        <v>1486</v>
      </c>
      <c r="K261" s="142"/>
    </row>
    <row r="262" spans="3:11" ht="12.75" customHeight="1">
      <c r="C262" s="20">
        <v>257</v>
      </c>
      <c r="D262" s="79" t="s">
        <v>1487</v>
      </c>
      <c r="E262" s="80" t="s">
        <v>1488</v>
      </c>
      <c r="F262" s="133" t="s">
        <v>1489</v>
      </c>
      <c r="K262" s="142"/>
    </row>
    <row r="263" spans="3:11" ht="12.75" customHeight="1">
      <c r="C263" s="20">
        <v>258</v>
      </c>
      <c r="D263" s="79" t="s">
        <v>1490</v>
      </c>
      <c r="E263" s="80" t="s">
        <v>1491</v>
      </c>
      <c r="F263" s="133" t="s">
        <v>1492</v>
      </c>
      <c r="K263" s="142"/>
    </row>
    <row r="264" spans="3:11" ht="12.75" customHeight="1">
      <c r="C264" s="20">
        <v>259</v>
      </c>
      <c r="D264" s="79" t="s">
        <v>1493</v>
      </c>
      <c r="E264" s="80" t="s">
        <v>1494</v>
      </c>
      <c r="F264" s="133" t="s">
        <v>1495</v>
      </c>
      <c r="K264" s="142"/>
    </row>
    <row r="265" spans="3:11" ht="12.75" customHeight="1">
      <c r="C265" s="20">
        <v>260</v>
      </c>
      <c r="D265" s="79" t="s">
        <v>1496</v>
      </c>
      <c r="E265" s="80" t="s">
        <v>1497</v>
      </c>
      <c r="F265" s="133" t="s">
        <v>1498</v>
      </c>
      <c r="K265" s="142"/>
    </row>
    <row r="266" spans="3:11" ht="12.75" customHeight="1">
      <c r="C266" s="20">
        <v>261</v>
      </c>
      <c r="D266" s="79"/>
      <c r="E266" s="80"/>
      <c r="F266" s="133"/>
      <c r="K266" s="142"/>
    </row>
    <row r="267" spans="3:11" ht="12.75" customHeight="1">
      <c r="C267" s="20">
        <v>262</v>
      </c>
      <c r="D267" s="41" t="s">
        <v>1499</v>
      </c>
      <c r="E267" s="25" t="s">
        <v>1500</v>
      </c>
      <c r="F267" s="38" t="s">
        <v>1501</v>
      </c>
      <c r="K267" s="142"/>
    </row>
    <row r="268" spans="3:11" ht="12.75" customHeight="1">
      <c r="C268" s="20">
        <v>263</v>
      </c>
      <c r="D268" s="79" t="s">
        <v>1502</v>
      </c>
      <c r="E268" s="104" t="s">
        <v>1503</v>
      </c>
      <c r="F268" s="133" t="s">
        <v>1504</v>
      </c>
      <c r="K268" s="142"/>
    </row>
    <row r="269" spans="3:11" ht="38.25">
      <c r="C269" s="20">
        <v>264</v>
      </c>
      <c r="D269" s="133" t="s">
        <v>1505</v>
      </c>
      <c r="E269" s="260" t="s">
        <v>1506</v>
      </c>
      <c r="F269" s="133" t="s">
        <v>1507</v>
      </c>
      <c r="K269" s="142"/>
    </row>
    <row r="270" spans="3:11" ht="12.75" customHeight="1">
      <c r="C270" s="20">
        <v>265</v>
      </c>
      <c r="D270" s="305" t="s">
        <v>1508</v>
      </c>
      <c r="E270" s="329" t="s">
        <v>1509</v>
      </c>
      <c r="F270" s="259" t="s">
        <v>1322</v>
      </c>
      <c r="K270" s="142"/>
    </row>
    <row r="271" spans="3:11" ht="12.75" customHeight="1">
      <c r="C271" s="20">
        <v>266</v>
      </c>
      <c r="D271" s="41" t="s">
        <v>1510</v>
      </c>
      <c r="E271" s="25" t="s">
        <v>1511</v>
      </c>
      <c r="F271" s="38" t="s">
        <v>1512</v>
      </c>
      <c r="K271" s="142"/>
    </row>
    <row r="272" spans="3:11" ht="12.75" customHeight="1">
      <c r="C272" s="20">
        <v>267</v>
      </c>
      <c r="D272" s="330" t="s">
        <v>1513</v>
      </c>
      <c r="E272" s="104" t="s">
        <v>1514</v>
      </c>
      <c r="F272" s="133" t="s">
        <v>1515</v>
      </c>
      <c r="K272" s="142"/>
    </row>
    <row r="273" spans="3:11" ht="38.25">
      <c r="C273" s="20">
        <v>268</v>
      </c>
      <c r="D273" s="133" t="s">
        <v>1505</v>
      </c>
      <c r="E273" s="260" t="s">
        <v>1516</v>
      </c>
      <c r="F273" s="133" t="s">
        <v>1507</v>
      </c>
      <c r="K273" s="142"/>
    </row>
    <row r="274" spans="3:11" ht="51">
      <c r="C274" s="20">
        <v>269</v>
      </c>
      <c r="D274" s="133" t="s">
        <v>1517</v>
      </c>
      <c r="E274" s="260" t="s">
        <v>1518</v>
      </c>
      <c r="F274" s="133" t="s">
        <v>1519</v>
      </c>
      <c r="K274" s="142"/>
    </row>
    <row r="275" spans="3:11">
      <c r="C275" s="20">
        <v>270</v>
      </c>
      <c r="D275" s="40" t="s">
        <v>1520</v>
      </c>
      <c r="E275" s="16" t="s">
        <v>1521</v>
      </c>
      <c r="F275" s="223" t="s">
        <v>1522</v>
      </c>
      <c r="K275" s="142"/>
    </row>
    <row r="276" spans="3:11" ht="171" customHeight="1">
      <c r="C276" s="20">
        <v>271</v>
      </c>
      <c r="D276" s="169" t="s">
        <v>1523</v>
      </c>
      <c r="E276" s="169" t="s">
        <v>1524</v>
      </c>
      <c r="F276" s="169" t="s">
        <v>1525</v>
      </c>
      <c r="K276" s="142"/>
    </row>
    <row r="277" spans="3:11" ht="51">
      <c r="C277" s="20">
        <v>272</v>
      </c>
      <c r="D277" s="149" t="s">
        <v>1526</v>
      </c>
      <c r="E277" s="331" t="s">
        <v>1527</v>
      </c>
      <c r="F277" s="149" t="s">
        <v>1528</v>
      </c>
      <c r="K277" s="142"/>
    </row>
    <row r="278" spans="3:11" ht="89.25">
      <c r="C278" s="20">
        <v>273</v>
      </c>
      <c r="D278" s="149" t="s">
        <v>1529</v>
      </c>
      <c r="E278" s="331" t="s">
        <v>1530</v>
      </c>
      <c r="F278" s="149" t="s">
        <v>1531</v>
      </c>
      <c r="K278" s="142"/>
    </row>
    <row r="279" spans="3:11" ht="38.25">
      <c r="C279" s="20">
        <v>274</v>
      </c>
      <c r="D279" s="149" t="s">
        <v>1532</v>
      </c>
      <c r="E279" s="331" t="s">
        <v>1533</v>
      </c>
      <c r="F279" s="149" t="s">
        <v>1534</v>
      </c>
      <c r="K279" s="142"/>
    </row>
    <row r="280" spans="3:11" ht="38.25">
      <c r="C280" s="20">
        <v>275</v>
      </c>
      <c r="D280" s="332" t="s">
        <v>1535</v>
      </c>
      <c r="E280" s="331" t="s">
        <v>1536</v>
      </c>
      <c r="F280" s="332" t="s">
        <v>1537</v>
      </c>
      <c r="K280" s="142"/>
    </row>
    <row r="281" spans="3:11" ht="51">
      <c r="C281" s="20">
        <v>276</v>
      </c>
      <c r="D281" s="332" t="s">
        <v>1538</v>
      </c>
      <c r="E281" s="333" t="s">
        <v>1539</v>
      </c>
      <c r="F281" s="332" t="s">
        <v>1540</v>
      </c>
      <c r="K281" s="142"/>
    </row>
    <row r="282" spans="3:11" ht="51">
      <c r="C282" s="20">
        <v>277</v>
      </c>
      <c r="D282" s="332" t="s">
        <v>1541</v>
      </c>
      <c r="E282" s="333" t="s">
        <v>1542</v>
      </c>
      <c r="F282" s="332" t="s">
        <v>1543</v>
      </c>
      <c r="K282" s="142"/>
    </row>
    <row r="283" spans="3:11" ht="12.75" customHeight="1">
      <c r="C283" s="20">
        <v>278</v>
      </c>
      <c r="D283" s="146"/>
      <c r="E283" s="333"/>
      <c r="F283" s="146"/>
      <c r="K283" s="142"/>
    </row>
    <row r="284" spans="3:11" ht="19.5" customHeight="1">
      <c r="C284" s="20">
        <v>279</v>
      </c>
      <c r="D284" s="49" t="s">
        <v>1544</v>
      </c>
      <c r="E284" s="61" t="s">
        <v>1545</v>
      </c>
      <c r="F284" s="95" t="s">
        <v>1546</v>
      </c>
      <c r="K284" s="142"/>
    </row>
    <row r="285" spans="3:11" ht="12.75" customHeight="1">
      <c r="C285" s="20">
        <v>280</v>
      </c>
      <c r="D285" s="94" t="s">
        <v>1547</v>
      </c>
      <c r="E285" s="56" t="s">
        <v>1548</v>
      </c>
      <c r="F285" s="224" t="s">
        <v>1549</v>
      </c>
      <c r="K285" s="142"/>
    </row>
    <row r="286" spans="3:11" ht="12.75" customHeight="1">
      <c r="C286" s="20">
        <v>281</v>
      </c>
      <c r="D286" s="39" t="s">
        <v>123</v>
      </c>
      <c r="E286" s="5" t="s">
        <v>1550</v>
      </c>
      <c r="F286" s="222" t="s">
        <v>1551</v>
      </c>
      <c r="K286" s="142"/>
    </row>
    <row r="287" spans="3:11" ht="19.5" customHeight="1">
      <c r="C287" s="20">
        <v>282</v>
      </c>
      <c r="D287" s="49" t="s">
        <v>1552</v>
      </c>
      <c r="E287" s="61" t="s">
        <v>1553</v>
      </c>
      <c r="F287" s="95" t="s">
        <v>1554</v>
      </c>
      <c r="K287" s="142"/>
    </row>
    <row r="288" spans="3:11" ht="12.75" customHeight="1">
      <c r="C288" s="20">
        <v>283</v>
      </c>
      <c r="D288" s="94" t="s">
        <v>1555</v>
      </c>
      <c r="E288" s="56" t="s">
        <v>1556</v>
      </c>
      <c r="F288" s="224" t="s">
        <v>1557</v>
      </c>
      <c r="K288" s="142"/>
    </row>
    <row r="289" spans="3:11" ht="12.75" customHeight="1">
      <c r="C289" s="20">
        <v>284</v>
      </c>
      <c r="D289" s="39" t="s">
        <v>123</v>
      </c>
      <c r="E289" s="5" t="s">
        <v>1550</v>
      </c>
      <c r="F289" s="222" t="s">
        <v>123</v>
      </c>
      <c r="K289" s="142"/>
    </row>
    <row r="290" spans="3:11" ht="19.5" customHeight="1">
      <c r="C290" s="20">
        <v>285</v>
      </c>
      <c r="D290" s="95" t="s">
        <v>1558</v>
      </c>
      <c r="E290" s="95" t="s">
        <v>1559</v>
      </c>
      <c r="F290" s="95" t="s">
        <v>1560</v>
      </c>
      <c r="K290" s="142"/>
    </row>
    <row r="291" spans="3:11" ht="12.75" customHeight="1">
      <c r="C291" s="20">
        <v>286</v>
      </c>
      <c r="D291" s="150" t="s">
        <v>1561</v>
      </c>
      <c r="E291" s="321" t="s">
        <v>1562</v>
      </c>
      <c r="F291" s="160" t="s">
        <v>1563</v>
      </c>
      <c r="K291" s="142"/>
    </row>
    <row r="292" spans="3:11" ht="19.5" customHeight="1">
      <c r="C292" s="20">
        <v>287</v>
      </c>
      <c r="D292" s="95" t="s">
        <v>1564</v>
      </c>
      <c r="E292" s="62" t="s">
        <v>1565</v>
      </c>
      <c r="F292" s="95" t="s">
        <v>1566</v>
      </c>
      <c r="K292" s="142"/>
    </row>
    <row r="293" spans="3:11" ht="12.75" customHeight="1">
      <c r="C293" s="20">
        <v>288</v>
      </c>
      <c r="D293" s="151" t="s">
        <v>1567</v>
      </c>
      <c r="E293" s="64" t="s">
        <v>1568</v>
      </c>
      <c r="F293" s="155" t="s">
        <v>1569</v>
      </c>
      <c r="K293" s="142"/>
    </row>
    <row r="294" spans="3:11" ht="12.75" customHeight="1">
      <c r="C294" s="20">
        <v>289</v>
      </c>
      <c r="D294" s="152" t="s">
        <v>1570</v>
      </c>
      <c r="E294" s="334" t="s">
        <v>1571</v>
      </c>
      <c r="F294" s="158" t="s">
        <v>1572</v>
      </c>
      <c r="K294" s="142"/>
    </row>
    <row r="295" spans="3:11" ht="12.75" customHeight="1">
      <c r="C295" s="20">
        <v>290</v>
      </c>
      <c r="D295" s="147" t="s">
        <v>1573</v>
      </c>
      <c r="E295" s="64" t="s">
        <v>1574</v>
      </c>
      <c r="F295" s="219" t="s">
        <v>1575</v>
      </c>
      <c r="K295" s="142"/>
    </row>
    <row r="296" spans="3:11" ht="12.75" customHeight="1">
      <c r="C296" s="20">
        <v>291</v>
      </c>
      <c r="D296" s="153" t="s">
        <v>1576</v>
      </c>
      <c r="E296" s="335" t="s">
        <v>1577</v>
      </c>
      <c r="F296" s="225" t="s">
        <v>1578</v>
      </c>
      <c r="K296" s="142"/>
    </row>
    <row r="297" spans="3:11" ht="13.5" customHeight="1" thickBot="1">
      <c r="C297" s="20">
        <v>292</v>
      </c>
      <c r="D297" s="154" t="s">
        <v>1579</v>
      </c>
      <c r="E297" s="336" t="s">
        <v>1580</v>
      </c>
      <c r="F297" s="226" t="s">
        <v>1581</v>
      </c>
      <c r="K297" s="142"/>
    </row>
    <row r="298" spans="3:11" ht="13.5" customHeight="1" thickTop="1">
      <c r="C298" s="20">
        <v>293</v>
      </c>
      <c r="D298" s="152" t="s">
        <v>123</v>
      </c>
      <c r="E298" s="64" t="s">
        <v>1550</v>
      </c>
      <c r="F298" s="158" t="s">
        <v>123</v>
      </c>
      <c r="K298" s="142"/>
    </row>
    <row r="299" spans="3:11" ht="19.5" customHeight="1">
      <c r="C299" s="20">
        <v>294</v>
      </c>
      <c r="D299" s="95" t="s">
        <v>1582</v>
      </c>
      <c r="E299" s="62" t="s">
        <v>1583</v>
      </c>
      <c r="F299" s="95" t="s">
        <v>1584</v>
      </c>
      <c r="K299" s="142"/>
    </row>
    <row r="300" spans="3:11" ht="12.75" customHeight="1">
      <c r="C300" s="20">
        <v>295</v>
      </c>
      <c r="D300" s="151" t="s">
        <v>1585</v>
      </c>
      <c r="E300" s="64" t="s">
        <v>1586</v>
      </c>
      <c r="F300" s="155" t="s">
        <v>1587</v>
      </c>
      <c r="K300" s="142"/>
    </row>
    <row r="301" spans="3:11" ht="12.75" customHeight="1">
      <c r="C301" s="20">
        <v>296</v>
      </c>
      <c r="D301" s="152" t="s">
        <v>1588</v>
      </c>
      <c r="E301" s="64" t="s">
        <v>1589</v>
      </c>
      <c r="F301" s="158" t="s">
        <v>1590</v>
      </c>
      <c r="K301" s="142"/>
    </row>
    <row r="302" spans="3:11" ht="12.75" customHeight="1">
      <c r="C302" s="20">
        <v>297</v>
      </c>
      <c r="D302" s="152" t="s">
        <v>1591</v>
      </c>
      <c r="E302" s="64" t="s">
        <v>1592</v>
      </c>
      <c r="F302" s="158" t="s">
        <v>1593</v>
      </c>
      <c r="K302" s="142"/>
    </row>
    <row r="303" spans="3:11" ht="12.75" customHeight="1">
      <c r="C303" s="20">
        <v>298</v>
      </c>
      <c r="D303" s="152" t="s">
        <v>1594</v>
      </c>
      <c r="E303" s="64" t="s">
        <v>1595</v>
      </c>
      <c r="F303" s="158" t="s">
        <v>1596</v>
      </c>
      <c r="K303" s="142"/>
    </row>
    <row r="304" spans="3:11" ht="12.75" customHeight="1">
      <c r="C304" s="20">
        <v>299</v>
      </c>
      <c r="D304" s="96" t="s">
        <v>1597</v>
      </c>
      <c r="E304" s="97" t="s">
        <v>1598</v>
      </c>
      <c r="F304" s="227" t="s">
        <v>1599</v>
      </c>
      <c r="K304" s="142"/>
    </row>
    <row r="305" spans="3:11" ht="13.5" customHeight="1" thickBot="1">
      <c r="C305" s="20">
        <v>300</v>
      </c>
      <c r="D305" s="154" t="s">
        <v>1579</v>
      </c>
      <c r="E305" s="336" t="s">
        <v>1580</v>
      </c>
      <c r="F305" s="226" t="s">
        <v>1581</v>
      </c>
      <c r="K305" s="142"/>
    </row>
    <row r="306" spans="3:11" ht="13.5" customHeight="1" thickTop="1">
      <c r="C306" s="20">
        <v>301</v>
      </c>
      <c r="D306" s="152" t="s">
        <v>123</v>
      </c>
      <c r="E306" s="64" t="s">
        <v>1550</v>
      </c>
      <c r="F306" s="158" t="s">
        <v>123</v>
      </c>
      <c r="K306" s="142"/>
    </row>
    <row r="307" spans="3:11" ht="19.5" customHeight="1">
      <c r="C307" s="20">
        <v>302</v>
      </c>
      <c r="D307" s="95" t="s">
        <v>1600</v>
      </c>
      <c r="E307" s="62" t="s">
        <v>1601</v>
      </c>
      <c r="F307" s="95" t="s">
        <v>1602</v>
      </c>
      <c r="K307" s="142"/>
    </row>
    <row r="308" spans="3:11" ht="12.75" customHeight="1">
      <c r="C308" s="20">
        <v>303</v>
      </c>
      <c r="D308" s="155" t="s">
        <v>1603</v>
      </c>
      <c r="E308" s="64" t="s">
        <v>1604</v>
      </c>
      <c r="F308" s="155" t="s">
        <v>1605</v>
      </c>
      <c r="K308" s="142"/>
    </row>
    <row r="309" spans="3:11" ht="12.75" customHeight="1">
      <c r="C309" s="20">
        <v>304</v>
      </c>
      <c r="D309" s="8" t="s">
        <v>1606</v>
      </c>
      <c r="E309" s="8" t="s">
        <v>1607</v>
      </c>
      <c r="F309" s="262" t="s">
        <v>1608</v>
      </c>
      <c r="K309" s="142"/>
    </row>
    <row r="310" spans="3:11" ht="12.75" customHeight="1">
      <c r="C310" s="20">
        <v>305</v>
      </c>
      <c r="D310" s="8" t="s">
        <v>1609</v>
      </c>
      <c r="E310" s="8" t="s">
        <v>1610</v>
      </c>
      <c r="F310" s="262" t="s">
        <v>1611</v>
      </c>
      <c r="K310" s="142"/>
    </row>
    <row r="311" spans="3:11" ht="12.75" customHeight="1">
      <c r="C311" s="20">
        <v>306</v>
      </c>
      <c r="D311" s="152" t="s">
        <v>1612</v>
      </c>
      <c r="E311" s="64" t="s">
        <v>1613</v>
      </c>
      <c r="F311" s="158" t="s">
        <v>1614</v>
      </c>
      <c r="K311" s="142"/>
    </row>
    <row r="312" spans="3:11" ht="12.75" customHeight="1">
      <c r="C312" s="20">
        <v>307</v>
      </c>
      <c r="D312" s="152" t="s">
        <v>1615</v>
      </c>
      <c r="E312" s="64" t="s">
        <v>1616</v>
      </c>
      <c r="F312" s="158" t="s">
        <v>1617</v>
      </c>
      <c r="K312" s="142"/>
    </row>
    <row r="313" spans="3:11" ht="13.5" customHeight="1" thickBot="1">
      <c r="C313" s="20">
        <v>308</v>
      </c>
      <c r="D313" s="156" t="s">
        <v>1579</v>
      </c>
      <c r="E313" s="337" t="s">
        <v>1580</v>
      </c>
      <c r="F313" s="228" t="s">
        <v>1581</v>
      </c>
      <c r="K313" s="142"/>
    </row>
    <row r="314" spans="3:11" ht="13.5" customHeight="1" thickTop="1">
      <c r="C314" s="20">
        <v>309</v>
      </c>
      <c r="D314" s="152" t="s">
        <v>123</v>
      </c>
      <c r="E314" s="64" t="s">
        <v>1550</v>
      </c>
      <c r="F314" s="158" t="s">
        <v>123</v>
      </c>
      <c r="K314" s="142"/>
    </row>
    <row r="315" spans="3:11" ht="19.5" customHeight="1">
      <c r="C315" s="20">
        <v>310</v>
      </c>
      <c r="D315" s="95" t="s">
        <v>1618</v>
      </c>
      <c r="E315" s="62" t="s">
        <v>1619</v>
      </c>
      <c r="F315" s="95" t="s">
        <v>1620</v>
      </c>
      <c r="K315" s="142"/>
    </row>
    <row r="316" spans="3:11" ht="12.75" customHeight="1">
      <c r="C316" s="20">
        <v>311</v>
      </c>
      <c r="D316" s="338" t="s">
        <v>1621</v>
      </c>
      <c r="E316" s="311" t="s">
        <v>1622</v>
      </c>
      <c r="F316" s="339" t="s">
        <v>1621</v>
      </c>
      <c r="K316" s="142"/>
    </row>
    <row r="317" spans="3:11" ht="12.75" customHeight="1">
      <c r="C317" s="20">
        <v>312</v>
      </c>
      <c r="D317" s="157" t="s">
        <v>1623</v>
      </c>
      <c r="E317" s="64" t="s">
        <v>1624</v>
      </c>
      <c r="F317" s="229" t="s">
        <v>1625</v>
      </c>
      <c r="K317" s="142"/>
    </row>
    <row r="318" spans="3:11" ht="12.75" customHeight="1">
      <c r="C318" s="20">
        <v>313</v>
      </c>
      <c r="D318" s="157" t="s">
        <v>1626</v>
      </c>
      <c r="E318" s="64" t="s">
        <v>1627</v>
      </c>
      <c r="F318" s="229" t="s">
        <v>1628</v>
      </c>
      <c r="K318" s="142"/>
    </row>
    <row r="319" spans="3:11" ht="12.75" customHeight="1">
      <c r="C319" s="20">
        <v>314</v>
      </c>
      <c r="D319" s="157" t="s">
        <v>1629</v>
      </c>
      <c r="E319" s="64" t="s">
        <v>1630</v>
      </c>
      <c r="F319" s="229" t="s">
        <v>1631</v>
      </c>
      <c r="K319" s="142"/>
    </row>
    <row r="320" spans="3:11" ht="12.75" customHeight="1">
      <c r="C320" s="20">
        <v>315</v>
      </c>
      <c r="D320" s="157" t="s">
        <v>1632</v>
      </c>
      <c r="E320" s="64" t="s">
        <v>1633</v>
      </c>
      <c r="F320" s="229" t="s">
        <v>1634</v>
      </c>
      <c r="K320" s="142"/>
    </row>
    <row r="321" spans="3:11" ht="13.5" customHeight="1" thickBot="1">
      <c r="C321" s="20">
        <v>316</v>
      </c>
      <c r="D321" s="154" t="s">
        <v>121</v>
      </c>
      <c r="E321" s="340" t="s">
        <v>1635</v>
      </c>
      <c r="F321" s="226" t="s">
        <v>1636</v>
      </c>
      <c r="K321" s="142"/>
    </row>
    <row r="322" spans="3:11" ht="20.25" customHeight="1" thickTop="1">
      <c r="C322" s="20">
        <v>317</v>
      </c>
      <c r="D322" s="95" t="s">
        <v>1637</v>
      </c>
      <c r="E322" s="62" t="s">
        <v>1638</v>
      </c>
      <c r="F322" s="95" t="s">
        <v>1639</v>
      </c>
      <c r="K322" s="142"/>
    </row>
    <row r="323" spans="3:11" ht="12.75" customHeight="1">
      <c r="C323" s="20">
        <v>318</v>
      </c>
      <c r="D323" s="341" t="s">
        <v>1623</v>
      </c>
      <c r="E323" s="64" t="s">
        <v>1624</v>
      </c>
      <c r="F323" s="341" t="s">
        <v>1625</v>
      </c>
      <c r="K323" s="142"/>
    </row>
    <row r="324" spans="3:11" ht="12.75" customHeight="1">
      <c r="C324" s="20">
        <v>319</v>
      </c>
      <c r="D324" s="341" t="s">
        <v>1640</v>
      </c>
      <c r="E324" s="64" t="s">
        <v>1641</v>
      </c>
      <c r="F324" s="341" t="s">
        <v>1628</v>
      </c>
      <c r="K324" s="142"/>
    </row>
    <row r="325" spans="3:11" ht="12.75" customHeight="1">
      <c r="C325" s="20">
        <v>320</v>
      </c>
      <c r="D325" s="341" t="s">
        <v>1632</v>
      </c>
      <c r="E325" s="64" t="s">
        <v>1633</v>
      </c>
      <c r="F325" s="341" t="s">
        <v>1634</v>
      </c>
      <c r="K325" s="142"/>
    </row>
    <row r="326" spans="3:11" ht="12.75" customHeight="1">
      <c r="C326" s="20">
        <v>321</v>
      </c>
      <c r="D326" s="158" t="s">
        <v>1621</v>
      </c>
      <c r="E326" s="8" t="s">
        <v>1642</v>
      </c>
      <c r="F326" s="158" t="s">
        <v>1621</v>
      </c>
      <c r="K326" s="142"/>
    </row>
    <row r="327" spans="3:11" ht="13.5" customHeight="1" thickBot="1">
      <c r="C327" s="20">
        <v>322</v>
      </c>
      <c r="D327" s="159" t="s">
        <v>121</v>
      </c>
      <c r="E327" s="342" t="s">
        <v>1635</v>
      </c>
      <c r="F327" s="159" t="s">
        <v>1636</v>
      </c>
      <c r="K327" s="142"/>
    </row>
    <row r="328" spans="3:11" ht="13.5" customHeight="1" thickTop="1">
      <c r="C328" s="20">
        <v>323</v>
      </c>
      <c r="D328" s="152" t="s">
        <v>123</v>
      </c>
      <c r="E328" s="64" t="s">
        <v>1550</v>
      </c>
      <c r="F328" s="158" t="s">
        <v>123</v>
      </c>
      <c r="K328" s="142"/>
    </row>
    <row r="329" spans="3:11" ht="15.75" customHeight="1">
      <c r="C329" s="20">
        <v>324</v>
      </c>
      <c r="D329" s="98" t="s">
        <v>1643</v>
      </c>
      <c r="E329" s="99" t="s">
        <v>1644</v>
      </c>
      <c r="F329" s="98" t="s">
        <v>1645</v>
      </c>
      <c r="K329" s="142"/>
    </row>
    <row r="330" spans="3:11" ht="12.75" customHeight="1">
      <c r="C330" s="20">
        <v>325</v>
      </c>
      <c r="D330" s="160" t="s">
        <v>575</v>
      </c>
      <c r="E330" s="64" t="s">
        <v>1646</v>
      </c>
      <c r="F330" s="160" t="s">
        <v>1647</v>
      </c>
      <c r="K330" s="142"/>
    </row>
    <row r="331" spans="3:11" ht="12.75" customHeight="1">
      <c r="C331" s="20">
        <v>326</v>
      </c>
      <c r="D331" s="160" t="s">
        <v>1648</v>
      </c>
      <c r="E331" s="343" t="s">
        <v>1649</v>
      </c>
      <c r="F331" s="160" t="s">
        <v>1650</v>
      </c>
      <c r="K331" s="142"/>
    </row>
    <row r="332" spans="3:11" ht="12.75" customHeight="1">
      <c r="C332" s="20">
        <v>327</v>
      </c>
      <c r="D332" s="160" t="s">
        <v>1651</v>
      </c>
      <c r="E332" s="343" t="s">
        <v>1652</v>
      </c>
      <c r="F332" s="160" t="s">
        <v>1653</v>
      </c>
      <c r="K332" s="142"/>
    </row>
    <row r="333" spans="3:11" ht="13.5" customHeight="1" thickBot="1">
      <c r="C333" s="20">
        <v>328</v>
      </c>
      <c r="D333" s="159" t="s">
        <v>1654</v>
      </c>
      <c r="E333" s="342" t="s">
        <v>1655</v>
      </c>
      <c r="F333" s="159" t="s">
        <v>1656</v>
      </c>
      <c r="K333" s="142"/>
    </row>
    <row r="334" spans="3:11" ht="13.5" customHeight="1" thickTop="1">
      <c r="C334" s="20">
        <v>329</v>
      </c>
      <c r="D334" s="152" t="s">
        <v>123</v>
      </c>
      <c r="E334" s="64" t="s">
        <v>1550</v>
      </c>
      <c r="F334" s="158" t="s">
        <v>123</v>
      </c>
      <c r="K334" s="142"/>
    </row>
    <row r="335" spans="3:11" ht="19.5" customHeight="1">
      <c r="C335" s="20">
        <v>330</v>
      </c>
      <c r="D335" s="95" t="s">
        <v>1657</v>
      </c>
      <c r="E335" s="62" t="s">
        <v>1658</v>
      </c>
      <c r="F335" s="95" t="s">
        <v>1659</v>
      </c>
      <c r="K335" s="142"/>
    </row>
    <row r="336" spans="3:11" ht="12.75" customHeight="1">
      <c r="C336" s="20">
        <v>331</v>
      </c>
      <c r="D336" s="160" t="s">
        <v>1660</v>
      </c>
      <c r="E336" s="64" t="s">
        <v>1661</v>
      </c>
      <c r="F336" s="160" t="s">
        <v>1662</v>
      </c>
      <c r="K336" s="142"/>
    </row>
    <row r="337" spans="3:11" ht="12.75" customHeight="1">
      <c r="C337" s="20">
        <v>332</v>
      </c>
      <c r="D337" s="160" t="s">
        <v>1663</v>
      </c>
      <c r="E337" s="343" t="s">
        <v>1664</v>
      </c>
      <c r="F337" s="160" t="s">
        <v>1665</v>
      </c>
      <c r="K337" s="142"/>
    </row>
    <row r="338" spans="3:11" ht="12.75" customHeight="1">
      <c r="C338" s="20">
        <v>333</v>
      </c>
      <c r="D338" s="344" t="s">
        <v>1666</v>
      </c>
      <c r="E338" s="64" t="s">
        <v>1667</v>
      </c>
      <c r="F338" s="344" t="s">
        <v>1668</v>
      </c>
      <c r="K338" s="142"/>
    </row>
    <row r="339" spans="3:11" ht="12.75" customHeight="1">
      <c r="C339" s="20">
        <v>334</v>
      </c>
      <c r="D339" s="160" t="s">
        <v>1669</v>
      </c>
      <c r="E339" s="64" t="s">
        <v>1670</v>
      </c>
      <c r="F339" s="160" t="s">
        <v>1671</v>
      </c>
      <c r="K339" s="142"/>
    </row>
    <row r="340" spans="3:11" ht="13.5" customHeight="1" thickBot="1">
      <c r="C340" s="20">
        <v>335</v>
      </c>
      <c r="D340" s="159" t="s">
        <v>1579</v>
      </c>
      <c r="E340" s="342" t="s">
        <v>1580</v>
      </c>
      <c r="F340" s="159" t="s">
        <v>1581</v>
      </c>
      <c r="K340" s="142"/>
    </row>
    <row r="341" spans="3:11" ht="13.5" customHeight="1" thickTop="1">
      <c r="C341" s="20">
        <v>336</v>
      </c>
      <c r="D341" s="152" t="s">
        <v>123</v>
      </c>
      <c r="E341" s="64" t="s">
        <v>1550</v>
      </c>
      <c r="F341" s="158" t="s">
        <v>123</v>
      </c>
      <c r="K341" s="142"/>
    </row>
    <row r="342" spans="3:11" ht="12.75" customHeight="1">
      <c r="C342" s="20">
        <v>337</v>
      </c>
      <c r="D342" s="68" t="s">
        <v>1672</v>
      </c>
      <c r="E342" s="68" t="s">
        <v>1673</v>
      </c>
      <c r="F342" s="68" t="s">
        <v>1674</v>
      </c>
      <c r="K342" s="142"/>
    </row>
    <row r="343" spans="3:11" ht="12.75" customHeight="1">
      <c r="C343" s="20">
        <v>338</v>
      </c>
      <c r="D343" s="8" t="s">
        <v>1675</v>
      </c>
      <c r="E343" s="8" t="s">
        <v>1676</v>
      </c>
      <c r="F343" s="345" t="s">
        <v>1677</v>
      </c>
      <c r="K343" s="142"/>
    </row>
    <row r="344" spans="3:11" ht="38.25">
      <c r="C344" s="20">
        <v>339</v>
      </c>
      <c r="D344" s="8" t="s">
        <v>1678</v>
      </c>
      <c r="E344" s="8" t="s">
        <v>1679</v>
      </c>
      <c r="F344" s="346" t="s">
        <v>1680</v>
      </c>
      <c r="K344" s="142"/>
    </row>
    <row r="345" spans="3:11" ht="12.75" customHeight="1">
      <c r="C345" s="20">
        <v>340</v>
      </c>
      <c r="D345" s="8" t="s">
        <v>1681</v>
      </c>
      <c r="E345" s="8" t="s">
        <v>1682</v>
      </c>
      <c r="F345" s="346" t="s">
        <v>1683</v>
      </c>
      <c r="K345" s="142"/>
    </row>
    <row r="346" spans="3:11" ht="12.75" customHeight="1">
      <c r="C346" s="20">
        <v>341</v>
      </c>
      <c r="D346" s="346"/>
      <c r="E346" s="347"/>
      <c r="F346" s="346"/>
      <c r="K346" s="142"/>
    </row>
    <row r="347" spans="3:11" ht="12.75" customHeight="1">
      <c r="C347" s="20">
        <v>342</v>
      </c>
      <c r="D347" s="8" t="s">
        <v>1684</v>
      </c>
      <c r="E347" s="8" t="s">
        <v>1685</v>
      </c>
      <c r="F347" s="346" t="s">
        <v>1686</v>
      </c>
      <c r="K347" s="142"/>
    </row>
    <row r="348" spans="3:11" ht="13.5" customHeight="1" thickBot="1">
      <c r="C348" s="20">
        <v>343</v>
      </c>
      <c r="D348" s="8" t="s">
        <v>1687</v>
      </c>
      <c r="E348" s="348" t="s">
        <v>1688</v>
      </c>
      <c r="F348" s="349" t="s">
        <v>1689</v>
      </c>
      <c r="K348" s="142"/>
    </row>
    <row r="349" spans="3:11" ht="13.5" customHeight="1" thickTop="1">
      <c r="C349" s="20">
        <v>344</v>
      </c>
      <c r="D349" s="152" t="s">
        <v>123</v>
      </c>
      <c r="E349" s="64" t="s">
        <v>1550</v>
      </c>
      <c r="F349" s="158" t="s">
        <v>123</v>
      </c>
      <c r="K349" s="142"/>
    </row>
    <row r="350" spans="3:11" ht="12.75" customHeight="1">
      <c r="C350" s="20">
        <v>345</v>
      </c>
      <c r="D350" s="68" t="s">
        <v>1690</v>
      </c>
      <c r="E350" s="68" t="s">
        <v>1691</v>
      </c>
      <c r="F350" s="68" t="s">
        <v>1692</v>
      </c>
      <c r="K350" s="142"/>
    </row>
    <row r="351" spans="3:11" ht="12.75" customHeight="1">
      <c r="C351" s="20">
        <v>346</v>
      </c>
      <c r="D351" s="45" t="s">
        <v>1693</v>
      </c>
      <c r="E351" s="7" t="s">
        <v>1694</v>
      </c>
      <c r="F351" s="45" t="s">
        <v>1695</v>
      </c>
      <c r="K351" s="142"/>
    </row>
    <row r="352" spans="3:11" ht="31.5" customHeight="1">
      <c r="C352" s="20">
        <v>347</v>
      </c>
      <c r="D352" s="341" t="s">
        <v>1696</v>
      </c>
      <c r="E352" s="315" t="s">
        <v>1697</v>
      </c>
      <c r="F352" s="341" t="s">
        <v>1698</v>
      </c>
      <c r="K352" s="142"/>
    </row>
    <row r="353" spans="3:11" ht="30" customHeight="1">
      <c r="C353" s="20">
        <v>348</v>
      </c>
      <c r="D353" s="160" t="s">
        <v>1699</v>
      </c>
      <c r="E353" s="8" t="s">
        <v>1700</v>
      </c>
      <c r="F353" s="341" t="s">
        <v>1701</v>
      </c>
      <c r="K353" s="142"/>
    </row>
    <row r="354" spans="3:11" ht="31.5" customHeight="1">
      <c r="C354" s="20">
        <v>349</v>
      </c>
      <c r="D354" s="160" t="s">
        <v>1702</v>
      </c>
      <c r="E354" s="8" t="s">
        <v>1703</v>
      </c>
      <c r="F354" s="341" t="s">
        <v>1704</v>
      </c>
      <c r="K354" s="142"/>
    </row>
    <row r="355" spans="3:11" ht="27.75" customHeight="1">
      <c r="C355" s="20">
        <v>350</v>
      </c>
      <c r="D355" s="160" t="s">
        <v>1705</v>
      </c>
      <c r="E355" s="8" t="s">
        <v>1706</v>
      </c>
      <c r="F355" s="341" t="s">
        <v>1707</v>
      </c>
      <c r="K355" s="142"/>
    </row>
    <row r="356" spans="3:11" ht="12.75" customHeight="1">
      <c r="C356" s="20">
        <v>351</v>
      </c>
      <c r="D356" s="160" t="s">
        <v>1708</v>
      </c>
      <c r="E356" s="8" t="s">
        <v>1709</v>
      </c>
      <c r="F356" s="341" t="s">
        <v>1710</v>
      </c>
      <c r="K356" s="142"/>
    </row>
    <row r="357" spans="3:11" ht="13.5" customHeight="1" thickBot="1">
      <c r="C357" s="20">
        <v>352</v>
      </c>
      <c r="D357" s="159" t="s">
        <v>1711</v>
      </c>
      <c r="E357" s="350" t="s">
        <v>1712</v>
      </c>
      <c r="F357" s="159" t="s">
        <v>1713</v>
      </c>
      <c r="K357" s="142"/>
    </row>
    <row r="358" spans="3:11" ht="13.5" customHeight="1" thickTop="1">
      <c r="C358" s="20">
        <v>353</v>
      </c>
      <c r="D358" s="152" t="s">
        <v>123</v>
      </c>
      <c r="E358" s="64" t="s">
        <v>1550</v>
      </c>
      <c r="F358" s="158" t="s">
        <v>123</v>
      </c>
      <c r="K358" s="142"/>
    </row>
    <row r="359" spans="3:11" ht="19.5" customHeight="1">
      <c r="C359" s="20">
        <v>354</v>
      </c>
      <c r="D359" s="100" t="s">
        <v>1714</v>
      </c>
      <c r="E359" s="101" t="s">
        <v>1715</v>
      </c>
      <c r="F359" s="100" t="s">
        <v>1716</v>
      </c>
      <c r="K359" s="142"/>
    </row>
    <row r="360" spans="3:11" ht="12.75" customHeight="1">
      <c r="C360" s="20">
        <v>355</v>
      </c>
      <c r="D360" s="147" t="s">
        <v>1717</v>
      </c>
      <c r="E360" s="59" t="s">
        <v>1718</v>
      </c>
      <c r="F360" s="219" t="s">
        <v>1719</v>
      </c>
      <c r="K360" s="142"/>
    </row>
    <row r="361" spans="3:11" ht="12.75" customHeight="1">
      <c r="C361" s="20">
        <v>356</v>
      </c>
      <c r="D361" s="147" t="s">
        <v>1720</v>
      </c>
      <c r="E361" s="59" t="s">
        <v>1721</v>
      </c>
      <c r="F361" s="219" t="s">
        <v>1722</v>
      </c>
      <c r="K361" s="142"/>
    </row>
    <row r="362" spans="3:11" ht="12.75" customHeight="1">
      <c r="C362" s="20">
        <v>357</v>
      </c>
      <c r="D362" s="147" t="s">
        <v>1723</v>
      </c>
      <c r="E362" s="59" t="s">
        <v>1724</v>
      </c>
      <c r="F362" s="219" t="s">
        <v>1725</v>
      </c>
      <c r="K362" s="142"/>
    </row>
    <row r="363" spans="3:11" ht="25.5">
      <c r="C363" s="20">
        <v>358</v>
      </c>
      <c r="D363" s="147" t="s">
        <v>1726</v>
      </c>
      <c r="E363" s="59" t="s">
        <v>1727</v>
      </c>
      <c r="F363" s="219" t="s">
        <v>1728</v>
      </c>
      <c r="K363" s="142"/>
    </row>
    <row r="364" spans="3:11" ht="12.75" customHeight="1">
      <c r="C364" s="20">
        <v>359</v>
      </c>
      <c r="D364" s="147" t="s">
        <v>1729</v>
      </c>
      <c r="E364" s="59" t="s">
        <v>1730</v>
      </c>
      <c r="F364" s="219" t="s">
        <v>1731</v>
      </c>
      <c r="K364" s="142"/>
    </row>
    <row r="365" spans="3:11" ht="13.5" customHeight="1" thickBot="1">
      <c r="C365" s="20">
        <v>360</v>
      </c>
      <c r="D365" s="351" t="s">
        <v>1732</v>
      </c>
      <c r="E365" s="352" t="s">
        <v>1733</v>
      </c>
      <c r="F365" s="219" t="s">
        <v>1734</v>
      </c>
      <c r="K365" s="142"/>
    </row>
    <row r="366" spans="3:11" ht="13.5" thickTop="1">
      <c r="C366" s="20">
        <v>361</v>
      </c>
      <c r="D366" s="161" t="s">
        <v>123</v>
      </c>
      <c r="E366" s="353" t="s">
        <v>1550</v>
      </c>
      <c r="F366" s="230" t="s">
        <v>123</v>
      </c>
      <c r="K366" s="142"/>
    </row>
    <row r="367" spans="3:11" ht="19.5" customHeight="1">
      <c r="C367" s="20">
        <v>362</v>
      </c>
      <c r="D367" s="95" t="s">
        <v>1735</v>
      </c>
      <c r="E367" s="62" t="s">
        <v>1736</v>
      </c>
      <c r="F367" s="95" t="s">
        <v>1737</v>
      </c>
      <c r="K367" s="142"/>
    </row>
    <row r="368" spans="3:11" ht="12.75" customHeight="1">
      <c r="C368" s="20">
        <v>363</v>
      </c>
      <c r="D368" s="160" t="s">
        <v>1738</v>
      </c>
      <c r="E368" s="8" t="s">
        <v>1739</v>
      </c>
      <c r="F368" s="160" t="s">
        <v>1740</v>
      </c>
      <c r="K368" s="142"/>
    </row>
    <row r="369" spans="3:11" ht="12.75" customHeight="1">
      <c r="C369" s="20">
        <v>364</v>
      </c>
      <c r="D369" s="344" t="s">
        <v>1741</v>
      </c>
      <c r="E369" s="8" t="s">
        <v>1742</v>
      </c>
      <c r="F369" s="344" t="s">
        <v>1743</v>
      </c>
      <c r="K369" s="142"/>
    </row>
    <row r="370" spans="3:11" ht="13.5" customHeight="1" thickBot="1">
      <c r="C370" s="20">
        <v>365</v>
      </c>
      <c r="D370" s="349" t="s">
        <v>1744</v>
      </c>
      <c r="E370" s="8" t="s">
        <v>1745</v>
      </c>
      <c r="F370" s="349" t="s">
        <v>1746</v>
      </c>
      <c r="K370" s="142"/>
    </row>
    <row r="371" spans="3:11" ht="13.5" customHeight="1" thickTop="1">
      <c r="C371" s="20">
        <v>366</v>
      </c>
      <c r="D371" s="152" t="s">
        <v>123</v>
      </c>
      <c r="E371" s="64" t="s">
        <v>1550</v>
      </c>
      <c r="F371" s="158" t="s">
        <v>123</v>
      </c>
      <c r="K371" s="142"/>
    </row>
    <row r="372" spans="3:11" ht="19.5" customHeight="1">
      <c r="C372" s="20">
        <v>367</v>
      </c>
      <c r="D372" s="95" t="s">
        <v>1747</v>
      </c>
      <c r="E372" s="62" t="s">
        <v>1748</v>
      </c>
      <c r="F372" s="95" t="s">
        <v>1749</v>
      </c>
      <c r="K372" s="142"/>
    </row>
    <row r="373" spans="3:11" ht="12.75" customHeight="1">
      <c r="C373" s="20">
        <v>368</v>
      </c>
      <c r="D373" s="157" t="s">
        <v>123</v>
      </c>
      <c r="E373" s="64" t="s">
        <v>1550</v>
      </c>
      <c r="F373" s="229" t="s">
        <v>123</v>
      </c>
      <c r="K373" s="142"/>
    </row>
    <row r="374" spans="3:11" ht="13.5" thickBot="1">
      <c r="C374" s="20">
        <v>369</v>
      </c>
      <c r="D374" s="143"/>
      <c r="E374" s="144"/>
      <c r="F374" s="143"/>
      <c r="H374" s="144"/>
      <c r="I374" s="144"/>
      <c r="J374" s="144"/>
      <c r="K374" s="145"/>
    </row>
    <row r="375" spans="3:11" ht="39">
      <c r="C375" s="20">
        <v>370</v>
      </c>
      <c r="D375" s="102" t="s">
        <v>1750</v>
      </c>
      <c r="E375" s="103" t="s">
        <v>1751</v>
      </c>
      <c r="F375" s="95" t="s">
        <v>1752</v>
      </c>
      <c r="K375" s="142"/>
    </row>
    <row r="376" spans="3:11">
      <c r="C376" s="20">
        <v>371</v>
      </c>
      <c r="D376" s="147"/>
      <c r="E376" s="59"/>
      <c r="K376" s="142"/>
    </row>
    <row r="377" spans="3:11">
      <c r="C377" s="20">
        <v>372</v>
      </c>
      <c r="D377" s="39" t="s">
        <v>1468</v>
      </c>
      <c r="E377" s="1" t="s">
        <v>1469</v>
      </c>
      <c r="F377" s="222" t="s">
        <v>1470</v>
      </c>
      <c r="K377" s="142"/>
    </row>
    <row r="378" spans="3:11">
      <c r="C378" s="20">
        <v>373</v>
      </c>
      <c r="D378" s="77" t="s">
        <v>1753</v>
      </c>
      <c r="E378" s="78" t="s">
        <v>1754</v>
      </c>
      <c r="F378" s="86" t="s">
        <v>1755</v>
      </c>
      <c r="K378" s="142"/>
    </row>
    <row r="379" spans="3:11">
      <c r="C379" s="20">
        <v>374</v>
      </c>
      <c r="D379" s="79" t="s">
        <v>1472</v>
      </c>
      <c r="E379" s="80" t="s">
        <v>1473</v>
      </c>
      <c r="F379" s="133" t="s">
        <v>1474</v>
      </c>
      <c r="K379" s="142"/>
    </row>
    <row r="380" spans="3:11">
      <c r="C380" s="20">
        <v>375</v>
      </c>
      <c r="D380" s="79" t="s">
        <v>1756</v>
      </c>
      <c r="E380" s="80" t="s">
        <v>1757</v>
      </c>
      <c r="F380" s="133" t="s">
        <v>1477</v>
      </c>
      <c r="K380" s="142"/>
    </row>
    <row r="381" spans="3:11">
      <c r="C381" s="20">
        <v>376</v>
      </c>
      <c r="D381" s="79"/>
      <c r="E381" s="80"/>
      <c r="F381" s="133"/>
      <c r="K381" s="142"/>
    </row>
    <row r="382" spans="3:11">
      <c r="C382" s="20">
        <v>377</v>
      </c>
      <c r="D382" s="79" t="s">
        <v>1478</v>
      </c>
      <c r="E382" s="80" t="s">
        <v>1758</v>
      </c>
      <c r="F382" s="133" t="s">
        <v>1480</v>
      </c>
      <c r="K382" s="142"/>
    </row>
    <row r="383" spans="3:11">
      <c r="C383" s="20">
        <v>378</v>
      </c>
      <c r="D383" s="79" t="s">
        <v>1481</v>
      </c>
      <c r="E383" s="80" t="s">
        <v>1759</v>
      </c>
      <c r="F383" s="133" t="s">
        <v>1483</v>
      </c>
      <c r="K383" s="142"/>
    </row>
    <row r="384" spans="3:11">
      <c r="C384" s="20">
        <v>379</v>
      </c>
      <c r="D384" s="79" t="s">
        <v>1484</v>
      </c>
      <c r="E384" s="80" t="s">
        <v>1485</v>
      </c>
      <c r="F384" s="133" t="s">
        <v>1486</v>
      </c>
      <c r="K384" s="142"/>
    </row>
    <row r="385" spans="3:11">
      <c r="C385" s="20">
        <v>380</v>
      </c>
      <c r="D385" s="79" t="s">
        <v>1487</v>
      </c>
      <c r="E385" s="80" t="s">
        <v>1488</v>
      </c>
      <c r="F385" s="133" t="s">
        <v>1489</v>
      </c>
      <c r="K385" s="142"/>
    </row>
    <row r="386" spans="3:11">
      <c r="C386" s="20">
        <v>381</v>
      </c>
      <c r="D386" s="79" t="s">
        <v>1490</v>
      </c>
      <c r="E386" s="80" t="s">
        <v>1491</v>
      </c>
      <c r="F386" s="133" t="s">
        <v>1492</v>
      </c>
      <c r="K386" s="142"/>
    </row>
    <row r="387" spans="3:11">
      <c r="C387" s="20">
        <v>382</v>
      </c>
      <c r="D387" s="79"/>
      <c r="E387" s="80"/>
      <c r="F387" s="133"/>
      <c r="K387" s="142"/>
    </row>
    <row r="388" spans="3:11">
      <c r="C388" s="20">
        <v>383</v>
      </c>
      <c r="D388" s="79" t="s">
        <v>1760</v>
      </c>
      <c r="E388" s="80" t="s">
        <v>1761</v>
      </c>
      <c r="F388" s="133" t="s">
        <v>1762</v>
      </c>
      <c r="K388" s="142"/>
    </row>
    <row r="389" spans="3:11" ht="25.5">
      <c r="C389" s="20">
        <v>384</v>
      </c>
      <c r="D389" s="79" t="s">
        <v>1763</v>
      </c>
      <c r="E389" s="306" t="s">
        <v>1764</v>
      </c>
      <c r="F389" s="133" t="s">
        <v>1765</v>
      </c>
      <c r="K389" s="142"/>
    </row>
    <row r="390" spans="3:11">
      <c r="C390" s="20">
        <v>385</v>
      </c>
      <c r="D390" s="79" t="s">
        <v>1766</v>
      </c>
      <c r="E390" s="80" t="s">
        <v>1767</v>
      </c>
      <c r="F390" s="133" t="s">
        <v>1498</v>
      </c>
      <c r="K390" s="142"/>
    </row>
    <row r="391" spans="3:11">
      <c r="C391" s="20">
        <v>386</v>
      </c>
      <c r="D391" s="79"/>
      <c r="E391" s="104"/>
      <c r="F391" s="133"/>
      <c r="K391" s="142"/>
    </row>
    <row r="392" spans="3:11" ht="25.5">
      <c r="C392" s="20">
        <v>387</v>
      </c>
      <c r="D392" s="41" t="s">
        <v>1499</v>
      </c>
      <c r="E392" s="25" t="s">
        <v>1768</v>
      </c>
      <c r="F392" s="133" t="s">
        <v>1501</v>
      </c>
      <c r="K392" s="142"/>
    </row>
    <row r="393" spans="3:11" ht="25.5">
      <c r="C393" s="20">
        <v>388</v>
      </c>
      <c r="D393" s="79" t="s">
        <v>1502</v>
      </c>
      <c r="E393" s="104" t="s">
        <v>1503</v>
      </c>
      <c r="F393" s="133" t="s">
        <v>1504</v>
      </c>
      <c r="K393" s="142"/>
    </row>
    <row r="394" spans="3:11" ht="38.25">
      <c r="C394" s="20">
        <v>389</v>
      </c>
      <c r="D394" s="133" t="s">
        <v>1505</v>
      </c>
      <c r="E394" s="260" t="s">
        <v>1769</v>
      </c>
      <c r="F394" s="133" t="s">
        <v>1507</v>
      </c>
      <c r="K394" s="142"/>
    </row>
    <row r="395" spans="3:11">
      <c r="C395" s="20">
        <v>390</v>
      </c>
      <c r="D395" s="148"/>
      <c r="E395" s="260"/>
      <c r="F395" s="133"/>
      <c r="K395" s="142"/>
    </row>
    <row r="396" spans="3:11" ht="25.5">
      <c r="C396" s="20">
        <v>391</v>
      </c>
      <c r="D396" s="41" t="s">
        <v>1770</v>
      </c>
      <c r="E396" s="25" t="s">
        <v>1511</v>
      </c>
      <c r="F396" s="38" t="s">
        <v>1512</v>
      </c>
      <c r="K396" s="142"/>
    </row>
    <row r="397" spans="3:11">
      <c r="C397" s="20">
        <v>392</v>
      </c>
      <c r="D397" s="330" t="s">
        <v>1513</v>
      </c>
      <c r="E397" s="104" t="s">
        <v>1514</v>
      </c>
      <c r="F397" s="32" t="s">
        <v>1515</v>
      </c>
      <c r="K397" s="142"/>
    </row>
    <row r="398" spans="3:11" ht="38.25">
      <c r="C398" s="20">
        <v>393</v>
      </c>
      <c r="D398" s="133" t="s">
        <v>1505</v>
      </c>
      <c r="E398" s="260" t="s">
        <v>1516</v>
      </c>
      <c r="F398" s="133" t="s">
        <v>1507</v>
      </c>
      <c r="K398" s="142"/>
    </row>
    <row r="399" spans="3:11" ht="51">
      <c r="C399" s="20">
        <v>394</v>
      </c>
      <c r="D399" s="133" t="s">
        <v>1517</v>
      </c>
      <c r="E399" s="260" t="s">
        <v>1518</v>
      </c>
      <c r="F399" s="133" t="s">
        <v>1519</v>
      </c>
      <c r="K399" s="142"/>
    </row>
    <row r="400" spans="3:11">
      <c r="C400" s="20">
        <v>395</v>
      </c>
      <c r="D400" s="105"/>
      <c r="E400" s="106"/>
      <c r="K400" s="142"/>
    </row>
    <row r="401" spans="3:11">
      <c r="C401" s="20">
        <v>396</v>
      </c>
      <c r="D401" s="40" t="s">
        <v>1520</v>
      </c>
      <c r="E401" s="16" t="s">
        <v>1521</v>
      </c>
      <c r="F401" s="223" t="s">
        <v>1522</v>
      </c>
      <c r="K401" s="142"/>
    </row>
    <row r="402" spans="3:11" ht="51">
      <c r="C402" s="20">
        <v>397</v>
      </c>
      <c r="D402" s="149" t="s">
        <v>1526</v>
      </c>
      <c r="E402" s="331" t="s">
        <v>1527</v>
      </c>
      <c r="F402" s="149" t="s">
        <v>1771</v>
      </c>
      <c r="K402" s="142"/>
    </row>
    <row r="403" spans="3:11" ht="89.25">
      <c r="C403" s="20">
        <v>398</v>
      </c>
      <c r="D403" s="149" t="s">
        <v>1772</v>
      </c>
      <c r="E403" s="317" t="s">
        <v>1773</v>
      </c>
      <c r="F403" s="149" t="s">
        <v>1774</v>
      </c>
      <c r="K403" s="142"/>
    </row>
    <row r="404" spans="3:11" ht="38.25">
      <c r="C404" s="20">
        <v>399</v>
      </c>
      <c r="D404" s="149" t="s">
        <v>1775</v>
      </c>
      <c r="E404" s="331" t="s">
        <v>1776</v>
      </c>
      <c r="F404" s="149" t="s">
        <v>1777</v>
      </c>
      <c r="K404" s="142"/>
    </row>
    <row r="405" spans="3:11" ht="38.25">
      <c r="C405" s="20">
        <v>400</v>
      </c>
      <c r="D405" s="149" t="s">
        <v>1778</v>
      </c>
      <c r="E405" s="331" t="s">
        <v>1779</v>
      </c>
      <c r="F405" s="354" t="s">
        <v>1537</v>
      </c>
      <c r="K405" s="142"/>
    </row>
    <row r="406" spans="3:11" ht="51">
      <c r="C406" s="20">
        <v>401</v>
      </c>
      <c r="D406" s="354" t="s">
        <v>1538</v>
      </c>
      <c r="E406" s="333" t="s">
        <v>1539</v>
      </c>
      <c r="F406" s="332" t="s">
        <v>1540</v>
      </c>
      <c r="K406" s="142"/>
    </row>
    <row r="407" spans="3:11" ht="38.25">
      <c r="C407" s="20">
        <v>402</v>
      </c>
      <c r="D407" s="332" t="s">
        <v>1780</v>
      </c>
      <c r="E407" s="333" t="s">
        <v>1781</v>
      </c>
      <c r="F407" s="332" t="s">
        <v>1782</v>
      </c>
      <c r="K407" s="142"/>
    </row>
    <row r="408" spans="3:11" ht="102">
      <c r="C408" s="20">
        <v>403</v>
      </c>
      <c r="D408" s="332" t="s">
        <v>1783</v>
      </c>
      <c r="E408" s="355" t="s">
        <v>1784</v>
      </c>
      <c r="F408" s="332" t="s">
        <v>1785</v>
      </c>
      <c r="K408" s="142"/>
    </row>
    <row r="409" spans="3:11">
      <c r="C409" s="20">
        <v>404</v>
      </c>
      <c r="D409" s="146"/>
      <c r="E409" s="64"/>
      <c r="K409" s="142"/>
    </row>
    <row r="410" spans="3:11" ht="19.5">
      <c r="C410" s="20">
        <v>405</v>
      </c>
      <c r="D410" s="107" t="s">
        <v>1786</v>
      </c>
      <c r="E410" s="63" t="s">
        <v>1787</v>
      </c>
      <c r="F410" s="107" t="s">
        <v>1788</v>
      </c>
      <c r="K410" s="142"/>
    </row>
    <row r="411" spans="3:11">
      <c r="C411" s="20">
        <v>406</v>
      </c>
      <c r="D411" s="46" t="s">
        <v>1789</v>
      </c>
      <c r="E411" s="2" t="s">
        <v>1550</v>
      </c>
      <c r="F411" s="46" t="s">
        <v>1790</v>
      </c>
      <c r="K411" s="142"/>
    </row>
    <row r="412" spans="3:11">
      <c r="C412" s="20">
        <v>407</v>
      </c>
      <c r="D412" s="147" t="s">
        <v>123</v>
      </c>
      <c r="E412" s="59" t="s">
        <v>1550</v>
      </c>
      <c r="F412" s="219" t="s">
        <v>123</v>
      </c>
      <c r="K412" s="142"/>
    </row>
    <row r="413" spans="3:11" ht="19.5">
      <c r="C413" s="20">
        <v>408</v>
      </c>
      <c r="D413" s="107" t="s">
        <v>1791</v>
      </c>
      <c r="E413" s="63" t="s">
        <v>1792</v>
      </c>
      <c r="F413" s="107" t="s">
        <v>1793</v>
      </c>
      <c r="K413" s="142"/>
    </row>
    <row r="414" spans="3:11" ht="12.75" customHeight="1">
      <c r="C414" s="20">
        <v>409</v>
      </c>
      <c r="D414" s="46" t="s">
        <v>1794</v>
      </c>
      <c r="E414" s="2" t="s">
        <v>1795</v>
      </c>
      <c r="F414" s="46" t="s">
        <v>1796</v>
      </c>
      <c r="K414" s="142"/>
    </row>
    <row r="415" spans="3:11" ht="12.75" customHeight="1">
      <c r="C415" s="20">
        <v>410</v>
      </c>
      <c r="D415" s="147" t="s">
        <v>123</v>
      </c>
      <c r="E415" s="64" t="s">
        <v>1550</v>
      </c>
      <c r="F415" s="219" t="s">
        <v>123</v>
      </c>
      <c r="K415" s="142"/>
    </row>
    <row r="416" spans="3:11" ht="19.5">
      <c r="C416" s="20">
        <v>411</v>
      </c>
      <c r="D416" s="107" t="s">
        <v>1797</v>
      </c>
      <c r="E416" s="63" t="s">
        <v>1798</v>
      </c>
      <c r="F416" s="107" t="s">
        <v>1799</v>
      </c>
      <c r="K416" s="142"/>
    </row>
    <row r="417" spans="3:11" ht="12.75" customHeight="1">
      <c r="C417" s="20">
        <v>412</v>
      </c>
      <c r="D417" s="46" t="s">
        <v>1800</v>
      </c>
      <c r="E417" s="2" t="s">
        <v>1801</v>
      </c>
      <c r="F417" s="46" t="s">
        <v>1802</v>
      </c>
      <c r="K417" s="142"/>
    </row>
    <row r="418" spans="3:11" ht="12.75" customHeight="1">
      <c r="C418" s="20">
        <v>413</v>
      </c>
      <c r="D418" s="147" t="s">
        <v>123</v>
      </c>
      <c r="E418" s="64" t="s">
        <v>1550</v>
      </c>
      <c r="F418" s="219" t="s">
        <v>123</v>
      </c>
      <c r="K418" s="142"/>
    </row>
    <row r="419" spans="3:11" ht="19.5">
      <c r="C419" s="20">
        <v>414</v>
      </c>
      <c r="D419" s="107" t="s">
        <v>1803</v>
      </c>
      <c r="E419" s="63" t="s">
        <v>1804</v>
      </c>
      <c r="F419" s="107" t="s">
        <v>1805</v>
      </c>
      <c r="K419" s="142"/>
    </row>
    <row r="420" spans="3:11" ht="12.75" customHeight="1">
      <c r="C420" s="20">
        <v>415</v>
      </c>
      <c r="D420" s="46" t="s">
        <v>1806</v>
      </c>
      <c r="E420" s="2" t="s">
        <v>1807</v>
      </c>
      <c r="F420" s="46" t="s">
        <v>1808</v>
      </c>
      <c r="K420" s="142"/>
    </row>
    <row r="421" spans="3:11" ht="12.75" customHeight="1">
      <c r="C421" s="20">
        <v>416</v>
      </c>
      <c r="D421" s="147" t="s">
        <v>123</v>
      </c>
      <c r="E421" s="64" t="s">
        <v>1550</v>
      </c>
      <c r="F421" s="219" t="s">
        <v>123</v>
      </c>
      <c r="K421" s="142"/>
    </row>
    <row r="422" spans="3:11" ht="19.5">
      <c r="C422" s="20">
        <v>417</v>
      </c>
      <c r="D422" s="107" t="s">
        <v>1809</v>
      </c>
      <c r="E422" s="63" t="s">
        <v>1810</v>
      </c>
      <c r="F422" s="107" t="s">
        <v>1811</v>
      </c>
      <c r="K422" s="142"/>
    </row>
    <row r="423" spans="3:11" ht="12.75" customHeight="1">
      <c r="C423" s="20">
        <v>418</v>
      </c>
      <c r="D423" s="46" t="s">
        <v>1812</v>
      </c>
      <c r="E423" s="2" t="s">
        <v>1813</v>
      </c>
      <c r="F423" s="46" t="s">
        <v>1814</v>
      </c>
      <c r="K423" s="142"/>
    </row>
    <row r="424" spans="3:11" ht="12.75" customHeight="1">
      <c r="C424" s="20">
        <v>419</v>
      </c>
      <c r="D424" s="147" t="s">
        <v>123</v>
      </c>
      <c r="E424" s="64" t="s">
        <v>1550</v>
      </c>
      <c r="F424" s="219" t="s">
        <v>123</v>
      </c>
      <c r="K424" s="142"/>
    </row>
    <row r="425" spans="3:11" ht="19.5">
      <c r="C425" s="20">
        <v>420</v>
      </c>
      <c r="D425" s="107" t="s">
        <v>1815</v>
      </c>
      <c r="E425" s="63" t="s">
        <v>1816</v>
      </c>
      <c r="F425" s="107" t="s">
        <v>1817</v>
      </c>
      <c r="K425" s="142"/>
    </row>
    <row r="426" spans="3:11" ht="12.75" customHeight="1">
      <c r="C426" s="20">
        <v>421</v>
      </c>
      <c r="D426" s="46" t="s">
        <v>1818</v>
      </c>
      <c r="E426" s="2" t="s">
        <v>1819</v>
      </c>
      <c r="F426" s="46" t="s">
        <v>1820</v>
      </c>
      <c r="K426" s="142"/>
    </row>
    <row r="427" spans="3:11" ht="12.75" customHeight="1">
      <c r="C427" s="20">
        <v>422</v>
      </c>
      <c r="D427" s="147" t="s">
        <v>123</v>
      </c>
      <c r="E427" s="64" t="s">
        <v>1550</v>
      </c>
      <c r="F427" s="219" t="s">
        <v>123</v>
      </c>
      <c r="K427" s="142"/>
    </row>
    <row r="428" spans="3:11" ht="19.5">
      <c r="C428" s="20">
        <v>423</v>
      </c>
      <c r="D428" s="107" t="s">
        <v>1821</v>
      </c>
      <c r="E428" s="63" t="s">
        <v>1822</v>
      </c>
      <c r="F428" s="107" t="s">
        <v>1823</v>
      </c>
      <c r="K428" s="142"/>
    </row>
    <row r="429" spans="3:11" ht="12.75" customHeight="1">
      <c r="C429" s="20">
        <v>424</v>
      </c>
      <c r="D429" s="46" t="s">
        <v>1824</v>
      </c>
      <c r="E429" s="2" t="s">
        <v>1825</v>
      </c>
      <c r="F429" s="46" t="s">
        <v>1826</v>
      </c>
      <c r="K429" s="142"/>
    </row>
    <row r="430" spans="3:11" ht="12.75" customHeight="1">
      <c r="C430" s="20">
        <v>425</v>
      </c>
      <c r="D430" s="147" t="s">
        <v>123</v>
      </c>
      <c r="E430" s="64" t="s">
        <v>1550</v>
      </c>
      <c r="F430" s="219" t="s">
        <v>123</v>
      </c>
      <c r="K430" s="142"/>
    </row>
    <row r="431" spans="3:11" ht="58.5">
      <c r="C431" s="20">
        <v>426</v>
      </c>
      <c r="D431" s="49" t="s">
        <v>1827</v>
      </c>
      <c r="E431" s="95" t="s">
        <v>1828</v>
      </c>
      <c r="F431" s="95" t="s">
        <v>1829</v>
      </c>
      <c r="K431" s="142"/>
    </row>
    <row r="432" spans="3:11" ht="12.75" customHeight="1">
      <c r="C432" s="20">
        <v>427</v>
      </c>
      <c r="D432" s="49" t="s">
        <v>1830</v>
      </c>
      <c r="E432" s="95" t="s">
        <v>1831</v>
      </c>
      <c r="F432" s="95" t="s">
        <v>1832</v>
      </c>
      <c r="K432" s="142"/>
    </row>
    <row r="433" spans="3:11" ht="12.75" customHeight="1">
      <c r="C433" s="20">
        <v>428</v>
      </c>
      <c r="D433" s="147" t="s">
        <v>1833</v>
      </c>
      <c r="E433" s="56" t="s">
        <v>1834</v>
      </c>
      <c r="F433" s="224" t="s">
        <v>1835</v>
      </c>
      <c r="K433" s="142"/>
    </row>
    <row r="434" spans="3:11" ht="19.5">
      <c r="C434" s="20">
        <v>429</v>
      </c>
      <c r="D434" s="107" t="s">
        <v>1836</v>
      </c>
      <c r="E434" s="63" t="s">
        <v>1837</v>
      </c>
      <c r="F434" s="107" t="s">
        <v>1838</v>
      </c>
      <c r="K434" s="142"/>
    </row>
    <row r="435" spans="3:11" ht="12.75" customHeight="1">
      <c r="C435" s="20">
        <v>430</v>
      </c>
      <c r="D435" s="47" t="s">
        <v>1839</v>
      </c>
      <c r="E435" s="29" t="s">
        <v>1840</v>
      </c>
      <c r="F435" s="231" t="s">
        <v>1841</v>
      </c>
      <c r="K435" s="142"/>
    </row>
    <row r="436" spans="3:11" ht="12.75" customHeight="1">
      <c r="C436" s="20">
        <v>431</v>
      </c>
      <c r="D436" s="162" t="s">
        <v>1842</v>
      </c>
      <c r="E436" s="356" t="s">
        <v>1843</v>
      </c>
      <c r="F436" s="160" t="s">
        <v>1844</v>
      </c>
      <c r="K436" s="142"/>
    </row>
    <row r="437" spans="3:11" ht="12.75" customHeight="1">
      <c r="C437" s="20">
        <v>432</v>
      </c>
      <c r="D437" s="163" t="s">
        <v>1845</v>
      </c>
      <c r="E437" s="318" t="s">
        <v>1846</v>
      </c>
      <c r="F437" s="232" t="s">
        <v>1847</v>
      </c>
      <c r="K437" s="142"/>
    </row>
    <row r="438" spans="3:11" ht="12.75" customHeight="1">
      <c r="C438" s="20">
        <v>433</v>
      </c>
      <c r="D438" s="47" t="s">
        <v>1848</v>
      </c>
      <c r="E438" s="29" t="s">
        <v>1849</v>
      </c>
      <c r="F438" s="231" t="s">
        <v>1850</v>
      </c>
      <c r="K438" s="142"/>
    </row>
    <row r="439" spans="3:11" ht="12.75" customHeight="1">
      <c r="C439" s="20">
        <v>434</v>
      </c>
      <c r="D439" s="164" t="s">
        <v>1851</v>
      </c>
      <c r="E439" s="357" t="s">
        <v>1852</v>
      </c>
      <c r="F439" s="232" t="s">
        <v>1853</v>
      </c>
      <c r="K439" s="142"/>
    </row>
    <row r="440" spans="3:11" ht="12.75" customHeight="1">
      <c r="C440" s="20">
        <v>435</v>
      </c>
      <c r="D440" s="164" t="s">
        <v>1854</v>
      </c>
      <c r="E440" s="357" t="s">
        <v>1855</v>
      </c>
      <c r="F440" s="232" t="s">
        <v>1856</v>
      </c>
      <c r="K440" s="142"/>
    </row>
    <row r="441" spans="3:11" ht="12.75" customHeight="1">
      <c r="C441" s="20">
        <v>436</v>
      </c>
      <c r="D441" s="39" t="s">
        <v>1857</v>
      </c>
      <c r="E441" s="1" t="s">
        <v>1858</v>
      </c>
      <c r="F441" s="222" t="s">
        <v>1857</v>
      </c>
      <c r="K441" s="142"/>
    </row>
    <row r="442" spans="3:11" ht="12.75" customHeight="1">
      <c r="C442" s="20">
        <v>437</v>
      </c>
      <c r="D442" s="164" t="s">
        <v>1859</v>
      </c>
      <c r="E442" s="357" t="s">
        <v>1860</v>
      </c>
      <c r="F442" s="232" t="s">
        <v>1861</v>
      </c>
      <c r="K442" s="142"/>
    </row>
    <row r="443" spans="3:11" ht="12.75" customHeight="1">
      <c r="C443" s="20">
        <v>438</v>
      </c>
      <c r="D443" s="164" t="s">
        <v>1862</v>
      </c>
      <c r="E443" s="357" t="s">
        <v>1863</v>
      </c>
      <c r="F443" s="232" t="s">
        <v>1864</v>
      </c>
      <c r="K443" s="142"/>
    </row>
    <row r="444" spans="3:11" ht="12.75" customHeight="1">
      <c r="C444" s="20">
        <v>439</v>
      </c>
      <c r="D444" s="47" t="s">
        <v>1865</v>
      </c>
      <c r="E444" s="29" t="s">
        <v>1866</v>
      </c>
      <c r="F444" s="231" t="s">
        <v>1865</v>
      </c>
      <c r="K444" s="142"/>
    </row>
    <row r="445" spans="3:11" ht="12.75" customHeight="1">
      <c r="C445" s="20">
        <v>440</v>
      </c>
      <c r="D445" s="47" t="s">
        <v>1867</v>
      </c>
      <c r="E445" s="29" t="s">
        <v>1868</v>
      </c>
      <c r="F445" s="231" t="s">
        <v>1869</v>
      </c>
      <c r="K445" s="142"/>
    </row>
    <row r="446" spans="3:11" ht="12.75" customHeight="1">
      <c r="C446" s="20">
        <v>441</v>
      </c>
      <c r="D446" s="163" t="s">
        <v>1870</v>
      </c>
      <c r="E446" s="318" t="s">
        <v>1871</v>
      </c>
      <c r="F446" s="232" t="s">
        <v>1872</v>
      </c>
      <c r="K446" s="142"/>
    </row>
    <row r="447" spans="3:11" ht="12.75" customHeight="1">
      <c r="C447" s="20">
        <v>442</v>
      </c>
      <c r="D447" s="163" t="s">
        <v>1873</v>
      </c>
      <c r="E447" s="318" t="s">
        <v>1874</v>
      </c>
      <c r="F447" s="232" t="s">
        <v>1875</v>
      </c>
      <c r="K447" s="142"/>
    </row>
    <row r="448" spans="3:11" ht="12.75" customHeight="1">
      <c r="C448" s="20">
        <v>443</v>
      </c>
      <c r="D448" s="39" t="s">
        <v>1876</v>
      </c>
      <c r="E448" s="1" t="s">
        <v>1877</v>
      </c>
      <c r="F448" s="222" t="s">
        <v>1878</v>
      </c>
      <c r="K448" s="142"/>
    </row>
    <row r="449" spans="3:11" ht="12.75" customHeight="1">
      <c r="C449" s="20">
        <v>444</v>
      </c>
      <c r="D449" s="39" t="s">
        <v>1879</v>
      </c>
      <c r="E449" s="1" t="s">
        <v>1880</v>
      </c>
      <c r="F449" s="222" t="s">
        <v>1881</v>
      </c>
      <c r="K449" s="142"/>
    </row>
    <row r="450" spans="3:11" ht="13.5" customHeight="1" thickBot="1">
      <c r="C450" s="20">
        <v>445</v>
      </c>
      <c r="D450" s="48" t="s">
        <v>1882</v>
      </c>
      <c r="E450" s="48" t="s">
        <v>1883</v>
      </c>
      <c r="F450" s="233" t="s">
        <v>1884</v>
      </c>
      <c r="K450" s="142"/>
    </row>
    <row r="451" spans="3:11" ht="13.5" customHeight="1" thickTop="1">
      <c r="C451" s="20">
        <v>446</v>
      </c>
      <c r="D451" s="165" t="s">
        <v>123</v>
      </c>
      <c r="E451" s="184" t="s">
        <v>1550</v>
      </c>
      <c r="F451" s="234" t="s">
        <v>123</v>
      </c>
      <c r="K451" s="142"/>
    </row>
    <row r="452" spans="3:11" ht="39">
      <c r="C452" s="20">
        <v>447</v>
      </c>
      <c r="D452" s="100" t="s">
        <v>1885</v>
      </c>
      <c r="E452" s="101" t="s">
        <v>1886</v>
      </c>
      <c r="F452" s="100" t="s">
        <v>1887</v>
      </c>
      <c r="K452" s="142"/>
    </row>
    <row r="453" spans="3:11" ht="12.75" customHeight="1">
      <c r="C453" s="20">
        <v>448</v>
      </c>
      <c r="D453" s="147" t="s">
        <v>1717</v>
      </c>
      <c r="E453" s="59" t="s">
        <v>1888</v>
      </c>
      <c r="F453" s="219" t="s">
        <v>1889</v>
      </c>
      <c r="K453" s="142"/>
    </row>
    <row r="454" spans="3:11" ht="12.75" customHeight="1">
      <c r="C454" s="20">
        <v>449</v>
      </c>
      <c r="D454" s="39" t="s">
        <v>1720</v>
      </c>
      <c r="E454" s="1" t="s">
        <v>1721</v>
      </c>
      <c r="F454" s="222" t="s">
        <v>1722</v>
      </c>
      <c r="K454" s="142"/>
    </row>
    <row r="455" spans="3:11" ht="12.75" customHeight="1">
      <c r="C455" s="20">
        <v>450</v>
      </c>
      <c r="D455" s="39" t="s">
        <v>1890</v>
      </c>
      <c r="E455" s="1" t="s">
        <v>1891</v>
      </c>
      <c r="F455" s="222" t="s">
        <v>1892</v>
      </c>
      <c r="K455" s="142"/>
    </row>
    <row r="456" spans="3:11">
      <c r="C456" s="20">
        <v>451</v>
      </c>
      <c r="D456" s="39" t="s">
        <v>1893</v>
      </c>
      <c r="E456" s="1" t="s">
        <v>1894</v>
      </c>
      <c r="F456" s="222" t="s">
        <v>1895</v>
      </c>
      <c r="K456" s="142"/>
    </row>
    <row r="457" spans="3:11">
      <c r="C457" s="20">
        <v>452</v>
      </c>
      <c r="D457" s="39" t="s">
        <v>1896</v>
      </c>
      <c r="E457" s="59" t="s">
        <v>1897</v>
      </c>
      <c r="F457" s="222" t="s">
        <v>1898</v>
      </c>
      <c r="K457" s="142"/>
    </row>
    <row r="458" spans="3:11" ht="13.5" thickBot="1">
      <c r="C458" s="20">
        <v>453</v>
      </c>
      <c r="D458" s="48" t="s">
        <v>1899</v>
      </c>
      <c r="E458" s="4" t="s">
        <v>1900</v>
      </c>
      <c r="F458" s="233" t="s">
        <v>1901</v>
      </c>
      <c r="K458" s="142"/>
    </row>
    <row r="459" spans="3:11" ht="13.5" thickTop="1">
      <c r="C459" s="20">
        <v>454</v>
      </c>
      <c r="D459" s="161" t="s">
        <v>123</v>
      </c>
      <c r="E459" s="353" t="s">
        <v>1550</v>
      </c>
      <c r="F459" s="230" t="s">
        <v>123</v>
      </c>
      <c r="K459" s="142"/>
    </row>
    <row r="460" spans="3:11" ht="19.5">
      <c r="C460" s="20">
        <v>455</v>
      </c>
      <c r="D460" s="107" t="s">
        <v>1902</v>
      </c>
      <c r="E460" s="63" t="s">
        <v>1903</v>
      </c>
      <c r="F460" s="107" t="s">
        <v>1904</v>
      </c>
      <c r="K460" s="142"/>
    </row>
    <row r="461" spans="3:11" ht="25.5">
      <c r="C461" s="20">
        <v>456</v>
      </c>
      <c r="D461" s="108" t="s">
        <v>1905</v>
      </c>
      <c r="E461" s="8" t="s">
        <v>1906</v>
      </c>
      <c r="F461" s="235" t="s">
        <v>1907</v>
      </c>
      <c r="K461" s="142"/>
    </row>
    <row r="462" spans="3:11" ht="25.5">
      <c r="C462" s="20">
        <v>457</v>
      </c>
      <c r="D462" s="157" t="s">
        <v>1908</v>
      </c>
      <c r="E462" s="64" t="s">
        <v>1909</v>
      </c>
      <c r="F462" s="229" t="s">
        <v>1910</v>
      </c>
      <c r="K462" s="142"/>
    </row>
    <row r="463" spans="3:11">
      <c r="C463" s="20">
        <v>458</v>
      </c>
      <c r="D463" s="157" t="s">
        <v>1911</v>
      </c>
      <c r="E463" s="64" t="s">
        <v>1912</v>
      </c>
      <c r="F463" s="229" t="s">
        <v>1913</v>
      </c>
      <c r="K463" s="142"/>
    </row>
    <row r="464" spans="3:11">
      <c r="C464" s="20">
        <v>459</v>
      </c>
      <c r="D464" s="157" t="s">
        <v>1914</v>
      </c>
      <c r="E464" s="64" t="s">
        <v>1915</v>
      </c>
      <c r="F464" s="229" t="s">
        <v>1916</v>
      </c>
      <c r="K464" s="142"/>
    </row>
    <row r="465" spans="3:11">
      <c r="C465" s="20">
        <v>460</v>
      </c>
      <c r="D465" s="157" t="s">
        <v>1917</v>
      </c>
      <c r="E465" s="64" t="s">
        <v>1918</v>
      </c>
      <c r="F465" s="229" t="s">
        <v>1919</v>
      </c>
      <c r="K465" s="142"/>
    </row>
    <row r="466" spans="3:11" ht="13.5" thickBot="1">
      <c r="C466" s="20">
        <v>461</v>
      </c>
      <c r="D466" s="154" t="s">
        <v>1920</v>
      </c>
      <c r="E466" s="340" t="s">
        <v>1921</v>
      </c>
      <c r="F466" s="226" t="s">
        <v>1922</v>
      </c>
      <c r="K466" s="142"/>
    </row>
    <row r="467" spans="3:11" ht="26.25" thickTop="1">
      <c r="C467" s="20">
        <v>462</v>
      </c>
      <c r="D467" s="161" t="s">
        <v>1923</v>
      </c>
      <c r="E467" s="64" t="s">
        <v>1924</v>
      </c>
      <c r="F467" s="230" t="s">
        <v>1925</v>
      </c>
      <c r="K467" s="142"/>
    </row>
    <row r="468" spans="3:11" ht="19.5">
      <c r="C468" s="20">
        <v>463</v>
      </c>
      <c r="D468" s="107" t="s">
        <v>1926</v>
      </c>
      <c r="E468" s="63" t="s">
        <v>1927</v>
      </c>
      <c r="F468" s="107" t="s">
        <v>1645</v>
      </c>
      <c r="K468" s="142"/>
    </row>
    <row r="469" spans="3:11">
      <c r="C469" s="20">
        <v>464</v>
      </c>
      <c r="D469" s="166" t="s">
        <v>574</v>
      </c>
      <c r="E469" s="64" t="s">
        <v>1928</v>
      </c>
      <c r="F469" s="236" t="s">
        <v>1929</v>
      </c>
      <c r="K469" s="142"/>
    </row>
    <row r="470" spans="3:11">
      <c r="C470" s="20">
        <v>465</v>
      </c>
      <c r="D470" s="157"/>
      <c r="E470" s="64"/>
      <c r="F470" s="229"/>
      <c r="K470" s="142"/>
    </row>
    <row r="471" spans="3:11">
      <c r="C471" s="20">
        <v>466</v>
      </c>
      <c r="D471" s="307" t="s">
        <v>575</v>
      </c>
      <c r="E471" s="283" t="s">
        <v>1646</v>
      </c>
      <c r="F471" s="308" t="s">
        <v>1647</v>
      </c>
      <c r="K471" s="142"/>
    </row>
    <row r="472" spans="3:11" ht="13.5" thickBot="1">
      <c r="C472" s="20">
        <v>467</v>
      </c>
      <c r="D472" s="154" t="s">
        <v>121</v>
      </c>
      <c r="E472" s="340" t="s">
        <v>1635</v>
      </c>
      <c r="F472" s="226" t="s">
        <v>1884</v>
      </c>
      <c r="K472" s="142"/>
    </row>
    <row r="473" spans="3:11" ht="13.5" thickTop="1">
      <c r="C473" s="20">
        <v>468</v>
      </c>
      <c r="D473" s="147" t="s">
        <v>123</v>
      </c>
      <c r="E473" s="64" t="s">
        <v>1550</v>
      </c>
      <c r="F473" s="219" t="s">
        <v>123</v>
      </c>
      <c r="K473" s="142"/>
    </row>
    <row r="474" spans="3:11" ht="19.5">
      <c r="C474" s="20">
        <v>469</v>
      </c>
      <c r="D474" s="107" t="s">
        <v>1930</v>
      </c>
      <c r="E474" s="107" t="s">
        <v>1931</v>
      </c>
      <c r="F474" s="107" t="s">
        <v>1932</v>
      </c>
      <c r="K474" s="142"/>
    </row>
    <row r="475" spans="3:11" ht="13.5" thickBot="1">
      <c r="C475" s="20">
        <v>470</v>
      </c>
      <c r="D475" s="46" t="s">
        <v>1933</v>
      </c>
      <c r="E475" s="2" t="s">
        <v>1934</v>
      </c>
      <c r="F475" s="46" t="s">
        <v>1935</v>
      </c>
      <c r="K475" s="142"/>
    </row>
    <row r="476" spans="3:11" ht="13.5" thickTop="1">
      <c r="C476" s="20">
        <v>471</v>
      </c>
      <c r="D476" s="161" t="s">
        <v>123</v>
      </c>
      <c r="E476" s="64" t="s">
        <v>1550</v>
      </c>
      <c r="F476" s="230" t="s">
        <v>123</v>
      </c>
      <c r="K476" s="142"/>
    </row>
    <row r="477" spans="3:11" ht="39">
      <c r="C477" s="20">
        <v>472</v>
      </c>
      <c r="D477" s="107" t="s">
        <v>1936</v>
      </c>
      <c r="E477" s="63" t="s">
        <v>1937</v>
      </c>
      <c r="F477" s="107" t="s">
        <v>1938</v>
      </c>
      <c r="K477" s="142"/>
    </row>
    <row r="478" spans="3:11">
      <c r="C478" s="20">
        <v>473</v>
      </c>
      <c r="D478" s="46" t="s">
        <v>1693</v>
      </c>
      <c r="E478" s="2" t="s">
        <v>1939</v>
      </c>
      <c r="F478" s="46" t="s">
        <v>1695</v>
      </c>
      <c r="K478" s="142"/>
    </row>
    <row r="479" spans="3:11" ht="25.5">
      <c r="C479" s="20">
        <v>474</v>
      </c>
      <c r="D479" s="160" t="s">
        <v>1696</v>
      </c>
      <c r="E479" s="8" t="s">
        <v>1697</v>
      </c>
      <c r="F479" s="160" t="s">
        <v>1940</v>
      </c>
      <c r="K479" s="142"/>
    </row>
    <row r="480" spans="3:11" ht="25.5">
      <c r="C480" s="20">
        <v>475</v>
      </c>
      <c r="D480" s="160" t="s">
        <v>1699</v>
      </c>
      <c r="E480" s="8" t="s">
        <v>1700</v>
      </c>
      <c r="F480" s="160" t="s">
        <v>1941</v>
      </c>
      <c r="K480" s="142"/>
    </row>
    <row r="481" spans="3:11" ht="25.5">
      <c r="C481" s="20">
        <v>476</v>
      </c>
      <c r="D481" s="160" t="s">
        <v>1702</v>
      </c>
      <c r="E481" s="8" t="s">
        <v>1703</v>
      </c>
      <c r="F481" s="160" t="s">
        <v>1942</v>
      </c>
      <c r="K481" s="142"/>
    </row>
    <row r="482" spans="3:11" ht="25.5">
      <c r="C482" s="20">
        <v>477</v>
      </c>
      <c r="D482" s="160" t="s">
        <v>1943</v>
      </c>
      <c r="E482" s="8" t="s">
        <v>1944</v>
      </c>
      <c r="F482" s="160" t="s">
        <v>1945</v>
      </c>
      <c r="K482" s="142"/>
    </row>
    <row r="483" spans="3:11" ht="26.25" thickBot="1">
      <c r="C483" s="20">
        <v>478</v>
      </c>
      <c r="D483" s="159" t="s">
        <v>1946</v>
      </c>
      <c r="E483" s="350" t="s">
        <v>1947</v>
      </c>
      <c r="F483" s="159" t="s">
        <v>1948</v>
      </c>
      <c r="K483" s="142"/>
    </row>
    <row r="484" spans="3:11" ht="20.25" thickTop="1">
      <c r="C484" s="20">
        <v>479</v>
      </c>
      <c r="D484" s="107" t="s">
        <v>1949</v>
      </c>
      <c r="E484" s="63" t="s">
        <v>1950</v>
      </c>
      <c r="F484" s="95" t="s">
        <v>1951</v>
      </c>
      <c r="K484" s="142"/>
    </row>
    <row r="485" spans="3:11">
      <c r="C485" s="20">
        <v>480</v>
      </c>
      <c r="D485" s="160" t="s">
        <v>1952</v>
      </c>
      <c r="E485" s="8" t="s">
        <v>1953</v>
      </c>
      <c r="F485" s="160" t="s">
        <v>1740</v>
      </c>
      <c r="K485" s="142"/>
    </row>
    <row r="486" spans="3:11">
      <c r="C486" s="20">
        <v>481</v>
      </c>
      <c r="D486" s="160" t="s">
        <v>1741</v>
      </c>
      <c r="E486" s="1" t="s">
        <v>1954</v>
      </c>
      <c r="F486" s="358" t="s">
        <v>1743</v>
      </c>
      <c r="K486" s="142"/>
    </row>
    <row r="487" spans="3:11" ht="26.25" thickBot="1">
      <c r="C487" s="20">
        <v>482</v>
      </c>
      <c r="D487" s="159" t="s">
        <v>1744</v>
      </c>
      <c r="E487" s="359" t="s">
        <v>1955</v>
      </c>
      <c r="F487" s="360" t="s">
        <v>1746</v>
      </c>
      <c r="K487" s="142"/>
    </row>
    <row r="488" spans="3:11" ht="59.25" thickTop="1">
      <c r="C488" s="20">
        <v>483</v>
      </c>
      <c r="D488" s="107" t="s">
        <v>1956</v>
      </c>
      <c r="E488" s="63" t="s">
        <v>1957</v>
      </c>
      <c r="F488" s="107" t="s">
        <v>1956</v>
      </c>
      <c r="K488" s="142"/>
    </row>
    <row r="489" spans="3:11">
      <c r="C489" s="20">
        <v>484</v>
      </c>
      <c r="D489" s="46" t="s">
        <v>1958</v>
      </c>
      <c r="E489" s="2" t="s">
        <v>1959</v>
      </c>
      <c r="F489" s="46" t="s">
        <v>1960</v>
      </c>
      <c r="K489" s="142"/>
    </row>
    <row r="490" spans="3:11" ht="19.5">
      <c r="C490" s="20">
        <v>485</v>
      </c>
      <c r="D490" s="107" t="s">
        <v>1961</v>
      </c>
      <c r="E490" s="107" t="s">
        <v>1962</v>
      </c>
      <c r="F490" s="107" t="s">
        <v>1963</v>
      </c>
      <c r="K490" s="142"/>
    </row>
    <row r="491" spans="3:11" ht="13.5" thickBot="1">
      <c r="C491" s="20">
        <v>486</v>
      </c>
      <c r="D491" s="154" t="s">
        <v>1964</v>
      </c>
      <c r="E491" s="64" t="s">
        <v>1965</v>
      </c>
      <c r="F491" s="226" t="s">
        <v>1966</v>
      </c>
      <c r="K491" s="142"/>
    </row>
    <row r="492" spans="3:11" ht="59.25" thickTop="1">
      <c r="C492" s="20">
        <v>487</v>
      </c>
      <c r="D492" s="107" t="s">
        <v>1967</v>
      </c>
      <c r="E492" s="107" t="s">
        <v>1968</v>
      </c>
      <c r="F492" s="107" t="s">
        <v>1969</v>
      </c>
      <c r="K492" s="142"/>
    </row>
    <row r="493" spans="3:11" ht="13.5" thickBot="1">
      <c r="C493" s="20">
        <v>488</v>
      </c>
      <c r="D493" s="154"/>
      <c r="E493" s="64"/>
      <c r="K493" s="142"/>
    </row>
    <row r="494" spans="3:11" ht="20.25" thickTop="1">
      <c r="C494" s="20">
        <v>489</v>
      </c>
      <c r="D494" s="107" t="s">
        <v>1970</v>
      </c>
      <c r="E494" s="63" t="s">
        <v>1971</v>
      </c>
      <c r="F494" s="107" t="s">
        <v>1972</v>
      </c>
      <c r="K494" s="142"/>
    </row>
    <row r="495" spans="3:11" ht="39">
      <c r="C495" s="20">
        <v>490</v>
      </c>
      <c r="D495" s="107" t="s">
        <v>1973</v>
      </c>
      <c r="E495" s="63" t="s">
        <v>1974</v>
      </c>
      <c r="F495" s="107" t="s">
        <v>1975</v>
      </c>
      <c r="K495" s="142"/>
    </row>
    <row r="496" spans="3:11" ht="13.5" thickBot="1">
      <c r="C496" s="20">
        <v>491</v>
      </c>
      <c r="D496" s="143"/>
      <c r="E496" s="144"/>
      <c r="F496" s="143"/>
      <c r="H496" s="144"/>
      <c r="I496" s="144"/>
      <c r="J496" s="144"/>
      <c r="K496" s="145"/>
    </row>
    <row r="497" spans="3:11" ht="19.5">
      <c r="C497" s="20">
        <v>492</v>
      </c>
      <c r="D497" s="49" t="s">
        <v>1976</v>
      </c>
      <c r="E497" s="9" t="s">
        <v>1977</v>
      </c>
      <c r="F497" s="95" t="s">
        <v>1978</v>
      </c>
      <c r="K497" s="142"/>
    </row>
    <row r="498" spans="3:11">
      <c r="C498" s="20">
        <v>493</v>
      </c>
      <c r="D498" s="147"/>
      <c r="E498" s="59"/>
      <c r="K498" s="142"/>
    </row>
    <row r="499" spans="3:11">
      <c r="C499" s="20">
        <v>494</v>
      </c>
      <c r="D499" s="39" t="s">
        <v>1468</v>
      </c>
      <c r="E499" s="1" t="s">
        <v>1469</v>
      </c>
      <c r="F499" s="222" t="s">
        <v>1470</v>
      </c>
      <c r="K499" s="142"/>
    </row>
    <row r="500" spans="3:11">
      <c r="C500" s="20">
        <v>495</v>
      </c>
      <c r="D500" s="79" t="s">
        <v>1756</v>
      </c>
      <c r="E500" s="80" t="s">
        <v>1757</v>
      </c>
      <c r="F500" s="133" t="s">
        <v>1477</v>
      </c>
      <c r="K500" s="142"/>
    </row>
    <row r="501" spans="3:11">
      <c r="C501" s="20">
        <v>496</v>
      </c>
      <c r="D501" s="79" t="s">
        <v>1487</v>
      </c>
      <c r="E501" s="80" t="s">
        <v>1979</v>
      </c>
      <c r="F501" s="133" t="s">
        <v>1980</v>
      </c>
      <c r="K501" s="142"/>
    </row>
    <row r="502" spans="3:11">
      <c r="C502" s="20">
        <v>497</v>
      </c>
      <c r="D502" s="79" t="s">
        <v>1472</v>
      </c>
      <c r="E502" s="207" t="s">
        <v>1473</v>
      </c>
      <c r="F502" s="133" t="s">
        <v>1474</v>
      </c>
      <c r="K502" s="142"/>
    </row>
    <row r="503" spans="3:11">
      <c r="C503" s="20">
        <v>498</v>
      </c>
      <c r="D503" s="79"/>
      <c r="E503" s="80"/>
      <c r="F503" s="133"/>
      <c r="K503" s="142"/>
    </row>
    <row r="504" spans="3:11" ht="25.5">
      <c r="C504" s="20">
        <v>499</v>
      </c>
      <c r="D504" s="41" t="s">
        <v>1499</v>
      </c>
      <c r="E504" s="25" t="s">
        <v>1500</v>
      </c>
      <c r="F504" s="38" t="s">
        <v>1501</v>
      </c>
      <c r="K504" s="142"/>
    </row>
    <row r="505" spans="3:11" ht="25.5">
      <c r="C505" s="20">
        <v>500</v>
      </c>
      <c r="D505" s="79" t="s">
        <v>1502</v>
      </c>
      <c r="E505" s="104" t="s">
        <v>1503</v>
      </c>
      <c r="F505" s="133" t="s">
        <v>1504</v>
      </c>
      <c r="K505" s="142"/>
    </row>
    <row r="506" spans="3:11" ht="38.25">
      <c r="C506" s="20">
        <v>501</v>
      </c>
      <c r="D506" s="133" t="s">
        <v>1505</v>
      </c>
      <c r="E506" s="260" t="s">
        <v>1506</v>
      </c>
      <c r="F506" s="133" t="s">
        <v>1507</v>
      </c>
      <c r="K506" s="142"/>
    </row>
    <row r="507" spans="3:11">
      <c r="C507" s="20">
        <v>502</v>
      </c>
      <c r="D507" s="167"/>
      <c r="E507" s="260"/>
      <c r="F507" s="237"/>
      <c r="K507" s="142"/>
    </row>
    <row r="508" spans="3:11" ht="25.5">
      <c r="C508" s="20">
        <v>503</v>
      </c>
      <c r="D508" s="41" t="s">
        <v>1510</v>
      </c>
      <c r="E508" s="25" t="s">
        <v>1511</v>
      </c>
      <c r="F508" s="38" t="s">
        <v>1512</v>
      </c>
      <c r="K508" s="142"/>
    </row>
    <row r="509" spans="3:11">
      <c r="C509" s="20">
        <v>504</v>
      </c>
      <c r="D509" s="79" t="s">
        <v>1513</v>
      </c>
      <c r="E509" s="104" t="s">
        <v>1514</v>
      </c>
      <c r="F509" s="133" t="s">
        <v>1515</v>
      </c>
      <c r="K509" s="142"/>
    </row>
    <row r="510" spans="3:11" ht="38.25">
      <c r="C510" s="20">
        <v>505</v>
      </c>
      <c r="D510" s="133" t="s">
        <v>1505</v>
      </c>
      <c r="E510" s="260" t="s">
        <v>1516</v>
      </c>
      <c r="F510" s="133" t="s">
        <v>1507</v>
      </c>
      <c r="K510" s="142"/>
    </row>
    <row r="511" spans="3:11" ht="51">
      <c r="C511" s="20">
        <v>506</v>
      </c>
      <c r="D511" s="133" t="s">
        <v>1517</v>
      </c>
      <c r="E511" s="260" t="s">
        <v>1518</v>
      </c>
      <c r="F511" s="133" t="s">
        <v>1519</v>
      </c>
      <c r="K511" s="142"/>
    </row>
    <row r="512" spans="3:11">
      <c r="C512" s="20">
        <v>507</v>
      </c>
      <c r="D512" s="170" t="s">
        <v>154</v>
      </c>
      <c r="E512" s="169" t="s">
        <v>154</v>
      </c>
      <c r="F512" s="169" t="s">
        <v>154</v>
      </c>
      <c r="K512" s="142"/>
    </row>
    <row r="513" spans="3:11">
      <c r="C513" s="20">
        <v>508</v>
      </c>
      <c r="D513" s="268" t="s">
        <v>154</v>
      </c>
      <c r="E513" s="269" t="s">
        <v>154</v>
      </c>
      <c r="F513" s="270" t="s">
        <v>154</v>
      </c>
      <c r="K513" s="142"/>
    </row>
    <row r="514" spans="3:11">
      <c r="C514" s="20">
        <v>509</v>
      </c>
      <c r="D514" s="332" t="s">
        <v>154</v>
      </c>
      <c r="E514" s="333" t="s">
        <v>154</v>
      </c>
      <c r="F514" s="332" t="s">
        <v>154</v>
      </c>
      <c r="K514" s="142"/>
    </row>
    <row r="515" spans="3:11">
      <c r="C515" s="20">
        <v>510</v>
      </c>
      <c r="D515" s="149" t="s">
        <v>154</v>
      </c>
      <c r="E515" s="331" t="s">
        <v>154</v>
      </c>
      <c r="F515" s="149" t="s">
        <v>154</v>
      </c>
      <c r="K515" s="142"/>
    </row>
    <row r="516" spans="3:11">
      <c r="C516" s="20">
        <v>511</v>
      </c>
      <c r="D516" s="332" t="s">
        <v>1981</v>
      </c>
      <c r="E516" s="333" t="s">
        <v>1982</v>
      </c>
      <c r="F516" s="354" t="s">
        <v>1983</v>
      </c>
      <c r="K516" s="142"/>
    </row>
    <row r="517" spans="3:11">
      <c r="C517" s="20">
        <v>512</v>
      </c>
      <c r="D517" s="146" t="s">
        <v>1984</v>
      </c>
      <c r="E517" s="168" t="s">
        <v>1985</v>
      </c>
      <c r="F517" s="64" t="s">
        <v>1986</v>
      </c>
      <c r="K517" s="142"/>
    </row>
    <row r="518" spans="3:11">
      <c r="C518" s="20">
        <v>513</v>
      </c>
      <c r="D518" s="109" t="s">
        <v>1987</v>
      </c>
      <c r="E518" s="110" t="s">
        <v>1988</v>
      </c>
      <c r="F518" s="109" t="s">
        <v>1989</v>
      </c>
      <c r="K518" s="142"/>
    </row>
    <row r="519" spans="3:11">
      <c r="C519" s="20">
        <v>514</v>
      </c>
      <c r="D519" s="109" t="s">
        <v>1990</v>
      </c>
      <c r="E519" s="110" t="s">
        <v>1991</v>
      </c>
      <c r="F519" s="109" t="s">
        <v>1992</v>
      </c>
      <c r="K519" s="142"/>
    </row>
    <row r="520" spans="3:11">
      <c r="C520" s="20">
        <v>515</v>
      </c>
      <c r="D520" s="109" t="s">
        <v>1993</v>
      </c>
      <c r="E520" s="110" t="s">
        <v>1994</v>
      </c>
      <c r="F520" s="109" t="s">
        <v>1995</v>
      </c>
      <c r="K520" s="142"/>
    </row>
    <row r="521" spans="3:11">
      <c r="C521" s="20">
        <v>516</v>
      </c>
      <c r="D521" s="109" t="s">
        <v>1996</v>
      </c>
      <c r="E521" s="109" t="s">
        <v>1997</v>
      </c>
      <c r="F521" s="109" t="s">
        <v>1998</v>
      </c>
      <c r="K521" s="142"/>
    </row>
    <row r="522" spans="3:11">
      <c r="C522" s="20">
        <v>517</v>
      </c>
      <c r="D522" s="109" t="s">
        <v>1999</v>
      </c>
      <c r="E522" s="110" t="s">
        <v>2000</v>
      </c>
      <c r="F522" s="109" t="s">
        <v>2001</v>
      </c>
      <c r="K522" s="142"/>
    </row>
    <row r="523" spans="3:11">
      <c r="C523" s="20">
        <v>518</v>
      </c>
      <c r="D523" s="111" t="s">
        <v>2002</v>
      </c>
      <c r="E523" s="110" t="s">
        <v>2003</v>
      </c>
      <c r="F523" s="111" t="s">
        <v>2004</v>
      </c>
      <c r="K523" s="142"/>
    </row>
    <row r="524" spans="3:11">
      <c r="C524" s="20">
        <v>519</v>
      </c>
      <c r="D524" s="109" t="s">
        <v>2005</v>
      </c>
      <c r="E524" s="110" t="s">
        <v>2006</v>
      </c>
      <c r="F524" s="109" t="s">
        <v>2007</v>
      </c>
      <c r="K524" s="142"/>
    </row>
    <row r="525" spans="3:11">
      <c r="C525" s="20">
        <v>520</v>
      </c>
      <c r="D525" s="109" t="s">
        <v>2008</v>
      </c>
      <c r="E525" s="110" t="s">
        <v>2009</v>
      </c>
      <c r="F525" s="109" t="s">
        <v>2010</v>
      </c>
      <c r="K525" s="142"/>
    </row>
    <row r="526" spans="3:11">
      <c r="C526" s="20">
        <v>521</v>
      </c>
      <c r="D526" s="109" t="s">
        <v>2011</v>
      </c>
      <c r="E526" s="110" t="s">
        <v>2012</v>
      </c>
      <c r="F526" s="109" t="s">
        <v>2013</v>
      </c>
      <c r="K526" s="142"/>
    </row>
    <row r="527" spans="3:11">
      <c r="C527" s="20">
        <v>522</v>
      </c>
      <c r="D527" s="109" t="s">
        <v>2014</v>
      </c>
      <c r="E527" s="110" t="s">
        <v>2015</v>
      </c>
      <c r="F527" s="109" t="s">
        <v>2016</v>
      </c>
      <c r="K527" s="142"/>
    </row>
    <row r="528" spans="3:11">
      <c r="C528" s="20">
        <v>523</v>
      </c>
      <c r="D528" s="109" t="s">
        <v>2017</v>
      </c>
      <c r="E528" s="110" t="s">
        <v>2018</v>
      </c>
      <c r="F528" s="109" t="s">
        <v>2019</v>
      </c>
      <c r="K528" s="142"/>
    </row>
    <row r="529" spans="3:11">
      <c r="C529" s="20">
        <v>524</v>
      </c>
      <c r="D529" s="109" t="s">
        <v>2020</v>
      </c>
      <c r="E529" s="110" t="s">
        <v>2021</v>
      </c>
      <c r="F529" s="109" t="s">
        <v>2022</v>
      </c>
      <c r="K529" s="142"/>
    </row>
    <row r="530" spans="3:11">
      <c r="C530" s="20">
        <v>525</v>
      </c>
      <c r="D530" s="109" t="s">
        <v>1282</v>
      </c>
      <c r="E530" s="110" t="s">
        <v>1283</v>
      </c>
      <c r="F530" s="109" t="s">
        <v>1284</v>
      </c>
      <c r="K530" s="142"/>
    </row>
    <row r="531" spans="3:11" ht="25.5">
      <c r="C531" s="20">
        <v>526</v>
      </c>
      <c r="D531" s="109" t="s">
        <v>2023</v>
      </c>
      <c r="E531" s="110" t="s">
        <v>2024</v>
      </c>
      <c r="F531" s="109" t="s">
        <v>2025</v>
      </c>
      <c r="K531" s="142"/>
    </row>
    <row r="532" spans="3:11" ht="25.5">
      <c r="C532" s="20">
        <v>527</v>
      </c>
      <c r="D532" s="109" t="s">
        <v>2026</v>
      </c>
      <c r="E532" s="110" t="s">
        <v>2027</v>
      </c>
      <c r="F532" s="109" t="s">
        <v>2028</v>
      </c>
      <c r="K532" s="142"/>
    </row>
    <row r="533" spans="3:11" ht="25.5">
      <c r="C533" s="20">
        <v>528</v>
      </c>
      <c r="D533" s="109" t="s">
        <v>2029</v>
      </c>
      <c r="E533" s="110" t="s">
        <v>2030</v>
      </c>
      <c r="F533" s="109" t="s">
        <v>2031</v>
      </c>
      <c r="K533" s="142"/>
    </row>
    <row r="534" spans="3:11" ht="25.5">
      <c r="C534" s="20">
        <v>529</v>
      </c>
      <c r="D534" s="109" t="s">
        <v>2032</v>
      </c>
      <c r="E534" s="110" t="s">
        <v>2033</v>
      </c>
      <c r="F534" s="109" t="s">
        <v>2034</v>
      </c>
      <c r="K534" s="142"/>
    </row>
    <row r="535" spans="3:11">
      <c r="C535" s="20">
        <v>530</v>
      </c>
      <c r="D535" s="109" t="s">
        <v>2035</v>
      </c>
      <c r="E535" s="110" t="s">
        <v>2036</v>
      </c>
      <c r="F535" s="109" t="s">
        <v>2035</v>
      </c>
      <c r="K535" s="142"/>
    </row>
    <row r="536" spans="3:11" ht="25.5">
      <c r="C536" s="20">
        <v>531</v>
      </c>
      <c r="D536" s="109" t="s">
        <v>2037</v>
      </c>
      <c r="E536" s="110" t="s">
        <v>2038</v>
      </c>
      <c r="F536" s="109" t="s">
        <v>2039</v>
      </c>
      <c r="K536" s="142"/>
    </row>
    <row r="537" spans="3:11">
      <c r="C537" s="20">
        <v>532</v>
      </c>
      <c r="D537" s="109" t="s">
        <v>2040</v>
      </c>
      <c r="E537" s="110" t="s">
        <v>2041</v>
      </c>
      <c r="F537" s="109" t="s">
        <v>2042</v>
      </c>
      <c r="K537" s="142"/>
    </row>
    <row r="538" spans="3:11">
      <c r="C538" s="20">
        <v>533</v>
      </c>
      <c r="D538" s="109" t="s">
        <v>2043</v>
      </c>
      <c r="E538" s="110" t="s">
        <v>2044</v>
      </c>
      <c r="F538" s="109" t="s">
        <v>2045</v>
      </c>
      <c r="K538" s="142"/>
    </row>
    <row r="539" spans="3:11">
      <c r="C539" s="20">
        <v>534</v>
      </c>
      <c r="D539" s="109"/>
      <c r="E539" s="110"/>
      <c r="F539" s="109"/>
      <c r="K539" s="142"/>
    </row>
    <row r="540" spans="3:11">
      <c r="C540" s="20">
        <v>535</v>
      </c>
      <c r="D540" s="109" t="s">
        <v>2046</v>
      </c>
      <c r="E540" s="110" t="s">
        <v>2047</v>
      </c>
      <c r="F540" s="109" t="s">
        <v>2048</v>
      </c>
      <c r="K540" s="142"/>
    </row>
    <row r="541" spans="3:11" ht="13.5" thickBot="1">
      <c r="C541" s="20">
        <v>536</v>
      </c>
      <c r="D541" s="143"/>
      <c r="E541" s="144"/>
      <c r="F541" s="143"/>
      <c r="H541" s="144"/>
      <c r="I541" s="144"/>
      <c r="J541" s="144"/>
      <c r="K541" s="145"/>
    </row>
    <row r="542" spans="3:11" ht="45">
      <c r="C542" s="20">
        <v>537</v>
      </c>
      <c r="D542" s="70" t="s">
        <v>2049</v>
      </c>
      <c r="E542" s="71" t="s">
        <v>2050</v>
      </c>
      <c r="F542" s="70" t="s">
        <v>2051</v>
      </c>
      <c r="K542" s="142"/>
    </row>
    <row r="543" spans="3:11" ht="12.75" customHeight="1">
      <c r="C543" s="20">
        <v>538</v>
      </c>
      <c r="D543" s="147"/>
      <c r="E543" s="59"/>
      <c r="K543" s="142"/>
    </row>
    <row r="544" spans="3:11" ht="12.75" customHeight="1">
      <c r="C544" s="20">
        <v>539</v>
      </c>
      <c r="D544" s="39" t="s">
        <v>1468</v>
      </c>
      <c r="E544" s="1" t="s">
        <v>1469</v>
      </c>
      <c r="F544" s="222" t="s">
        <v>1470</v>
      </c>
      <c r="K544" s="142"/>
    </row>
    <row r="545" spans="3:11" ht="12.75" customHeight="1">
      <c r="C545" s="20">
        <v>540</v>
      </c>
      <c r="D545" s="79" t="s">
        <v>1756</v>
      </c>
      <c r="E545" s="80" t="s">
        <v>1757</v>
      </c>
      <c r="F545" s="133" t="s">
        <v>1477</v>
      </c>
      <c r="K545" s="142"/>
    </row>
    <row r="546" spans="3:11" ht="12.75" customHeight="1">
      <c r="C546" s="20">
        <v>541</v>
      </c>
      <c r="D546" s="79" t="s">
        <v>1487</v>
      </c>
      <c r="E546" s="80" t="s">
        <v>1979</v>
      </c>
      <c r="F546" s="133" t="s">
        <v>1980</v>
      </c>
      <c r="K546" s="142"/>
    </row>
    <row r="547" spans="3:11" ht="12.75" customHeight="1">
      <c r="C547" s="20">
        <v>542</v>
      </c>
      <c r="D547" s="79" t="s">
        <v>1472</v>
      </c>
      <c r="E547" s="207" t="s">
        <v>1473</v>
      </c>
      <c r="F547" s="133" t="s">
        <v>1474</v>
      </c>
      <c r="K547" s="142"/>
    </row>
    <row r="548" spans="3:11" ht="12.75" customHeight="1">
      <c r="C548" s="20">
        <v>543</v>
      </c>
      <c r="D548" s="79"/>
      <c r="E548" s="80"/>
      <c r="F548" s="133"/>
      <c r="K548" s="142"/>
    </row>
    <row r="549" spans="3:11" ht="12.75" customHeight="1">
      <c r="C549" s="20">
        <v>544</v>
      </c>
      <c r="D549" s="41" t="s">
        <v>1499</v>
      </c>
      <c r="E549" s="25" t="s">
        <v>1500</v>
      </c>
      <c r="F549" s="38" t="s">
        <v>1501</v>
      </c>
      <c r="K549" s="142"/>
    </row>
    <row r="550" spans="3:11" ht="12.75" customHeight="1">
      <c r="C550" s="20">
        <v>545</v>
      </c>
      <c r="D550" s="79" t="s">
        <v>1502</v>
      </c>
      <c r="E550" s="104" t="s">
        <v>1503</v>
      </c>
      <c r="F550" s="133" t="s">
        <v>1504</v>
      </c>
      <c r="K550" s="142"/>
    </row>
    <row r="551" spans="3:11" ht="38.25">
      <c r="C551" s="20">
        <v>546</v>
      </c>
      <c r="D551" s="133" t="s">
        <v>1505</v>
      </c>
      <c r="E551" s="260" t="s">
        <v>1506</v>
      </c>
      <c r="F551" s="133" t="s">
        <v>1507</v>
      </c>
      <c r="K551" s="142"/>
    </row>
    <row r="552" spans="3:11" ht="12.75" customHeight="1">
      <c r="C552" s="20">
        <v>547</v>
      </c>
      <c r="D552" s="167"/>
      <c r="E552" s="260"/>
      <c r="F552" s="237"/>
      <c r="K552" s="142"/>
    </row>
    <row r="553" spans="3:11" ht="12.75" customHeight="1">
      <c r="C553" s="20">
        <v>548</v>
      </c>
      <c r="D553" s="41" t="s">
        <v>1510</v>
      </c>
      <c r="E553" s="25" t="s">
        <v>1511</v>
      </c>
      <c r="F553" s="38" t="s">
        <v>1512</v>
      </c>
      <c r="K553" s="142"/>
    </row>
    <row r="554" spans="3:11" ht="12.75" customHeight="1">
      <c r="C554" s="20">
        <v>549</v>
      </c>
      <c r="D554" s="79" t="s">
        <v>1513</v>
      </c>
      <c r="E554" s="104" t="s">
        <v>1514</v>
      </c>
      <c r="F554" s="133" t="s">
        <v>1515</v>
      </c>
      <c r="K554" s="142"/>
    </row>
    <row r="555" spans="3:11" ht="38.25">
      <c r="C555" s="20">
        <v>550</v>
      </c>
      <c r="D555" s="133" t="s">
        <v>1505</v>
      </c>
      <c r="E555" s="260" t="s">
        <v>1516</v>
      </c>
      <c r="F555" s="133" t="s">
        <v>1507</v>
      </c>
      <c r="K555" s="142"/>
    </row>
    <row r="556" spans="3:11" ht="51">
      <c r="C556" s="20">
        <v>551</v>
      </c>
      <c r="D556" s="133" t="s">
        <v>1517</v>
      </c>
      <c r="E556" s="260" t="s">
        <v>1518</v>
      </c>
      <c r="F556" s="133" t="s">
        <v>1519</v>
      </c>
      <c r="K556" s="142"/>
    </row>
    <row r="557" spans="3:11" ht="12.75" customHeight="1">
      <c r="C557" s="20">
        <v>552</v>
      </c>
      <c r="D557" s="147"/>
      <c r="E557" s="59"/>
      <c r="K557" s="142"/>
    </row>
    <row r="558" spans="3:11" ht="12.75" customHeight="1">
      <c r="C558" s="20">
        <v>553</v>
      </c>
      <c r="D558" s="40" t="s">
        <v>1520</v>
      </c>
      <c r="E558" s="16" t="s">
        <v>1521</v>
      </c>
      <c r="F558" s="223" t="s">
        <v>1522</v>
      </c>
      <c r="K558" s="142"/>
    </row>
    <row r="559" spans="3:11">
      <c r="C559" s="20">
        <v>554</v>
      </c>
      <c r="D559" s="332"/>
      <c r="E559" s="333"/>
      <c r="F559" s="332"/>
      <c r="K559" s="142"/>
    </row>
    <row r="560" spans="3:11">
      <c r="C560" s="20">
        <v>555</v>
      </c>
      <c r="D560" s="332"/>
      <c r="E560" s="64"/>
      <c r="K560" s="142"/>
    </row>
    <row r="561" spans="3:11" ht="12.75" customHeight="1">
      <c r="C561" s="20">
        <v>556</v>
      </c>
      <c r="D561" s="146" t="s">
        <v>2052</v>
      </c>
      <c r="E561" s="66" t="s">
        <v>2053</v>
      </c>
      <c r="F561" s="146" t="s">
        <v>2054</v>
      </c>
      <c r="K561" s="142"/>
    </row>
    <row r="562" spans="3:11" ht="12.75" customHeight="1">
      <c r="C562" s="20">
        <v>557</v>
      </c>
      <c r="D562" s="85" t="s">
        <v>2055</v>
      </c>
      <c r="E562" s="58" t="s">
        <v>2056</v>
      </c>
      <c r="F562" s="220" t="s">
        <v>2057</v>
      </c>
      <c r="K562" s="142"/>
    </row>
    <row r="563" spans="3:11" ht="12.75" customHeight="1">
      <c r="C563" s="20">
        <v>558</v>
      </c>
      <c r="D563" s="109" t="s">
        <v>1987</v>
      </c>
      <c r="E563" s="110" t="s">
        <v>1988</v>
      </c>
      <c r="F563" s="109" t="s">
        <v>1989</v>
      </c>
      <c r="K563" s="142"/>
    </row>
    <row r="564" spans="3:11" ht="12.75" customHeight="1">
      <c r="C564" s="20">
        <v>559</v>
      </c>
      <c r="D564" s="109" t="s">
        <v>2058</v>
      </c>
      <c r="E564" s="109" t="s">
        <v>2059</v>
      </c>
      <c r="F564" s="109" t="s">
        <v>2060</v>
      </c>
      <c r="K564" s="142"/>
    </row>
    <row r="565" spans="3:11" ht="12.75" customHeight="1">
      <c r="C565" s="20">
        <v>560</v>
      </c>
      <c r="D565" s="361" t="s">
        <v>2061</v>
      </c>
      <c r="E565" s="361" t="s">
        <v>2062</v>
      </c>
      <c r="F565" s="361" t="s">
        <v>2063</v>
      </c>
      <c r="K565" s="142"/>
    </row>
    <row r="566" spans="3:11" ht="12.75" customHeight="1">
      <c r="C566" s="20">
        <v>561</v>
      </c>
      <c r="D566" s="109" t="s">
        <v>1990</v>
      </c>
      <c r="E566" s="110" t="s">
        <v>1991</v>
      </c>
      <c r="F566" s="109" t="s">
        <v>1992</v>
      </c>
      <c r="K566" s="142"/>
    </row>
    <row r="567" spans="3:11">
      <c r="C567" s="20">
        <v>562</v>
      </c>
      <c r="D567" s="109"/>
      <c r="E567" s="214"/>
      <c r="F567" s="109"/>
      <c r="K567" s="142"/>
    </row>
    <row r="568" spans="3:11" ht="12.75" customHeight="1">
      <c r="C568" s="20">
        <v>563</v>
      </c>
      <c r="D568" s="109" t="s">
        <v>1993</v>
      </c>
      <c r="E568" s="110" t="s">
        <v>1994</v>
      </c>
      <c r="F568" s="109" t="s">
        <v>1995</v>
      </c>
      <c r="K568" s="142"/>
    </row>
    <row r="569" spans="3:11" ht="12.75" customHeight="1">
      <c r="C569" s="20">
        <v>564</v>
      </c>
      <c r="D569" s="109" t="s">
        <v>2064</v>
      </c>
      <c r="E569" s="109" t="s">
        <v>1997</v>
      </c>
      <c r="F569" s="109" t="s">
        <v>1998</v>
      </c>
      <c r="K569" s="142"/>
    </row>
    <row r="570" spans="3:11" ht="12.75" customHeight="1">
      <c r="C570" s="20">
        <v>565</v>
      </c>
      <c r="D570" s="109" t="s">
        <v>2065</v>
      </c>
      <c r="E570" s="109" t="s">
        <v>2066</v>
      </c>
      <c r="F570" s="109" t="s">
        <v>2067</v>
      </c>
      <c r="K570" s="142"/>
    </row>
    <row r="571" spans="3:11" ht="12.75" customHeight="1">
      <c r="C571" s="20">
        <v>566</v>
      </c>
      <c r="D571" s="109" t="s">
        <v>2068</v>
      </c>
      <c r="E571" s="109" t="s">
        <v>2069</v>
      </c>
      <c r="F571" s="109" t="s">
        <v>2070</v>
      </c>
      <c r="K571" s="142"/>
    </row>
    <row r="572" spans="3:11" ht="12.75" customHeight="1">
      <c r="C572" s="20">
        <v>567</v>
      </c>
      <c r="D572" s="109" t="s">
        <v>2071</v>
      </c>
      <c r="E572" s="109" t="str">
        <f>E565</f>
        <v xml:space="preserve">Numerische Referenznummer. </v>
      </c>
      <c r="F572" s="109" t="s">
        <v>2063</v>
      </c>
      <c r="K572" s="142"/>
    </row>
    <row r="573" spans="3:11" ht="12.75" customHeight="1">
      <c r="C573" s="20">
        <v>568</v>
      </c>
      <c r="D573" s="109" t="s">
        <v>2072</v>
      </c>
      <c r="E573" s="110" t="s">
        <v>2000</v>
      </c>
      <c r="F573" s="109" t="s">
        <v>2001</v>
      </c>
      <c r="K573" s="142"/>
    </row>
    <row r="574" spans="3:11" ht="12.75" customHeight="1">
      <c r="C574" s="20">
        <v>569</v>
      </c>
      <c r="D574" s="109" t="s">
        <v>2073</v>
      </c>
      <c r="E574" s="112" t="s">
        <v>2074</v>
      </c>
      <c r="F574" s="109" t="s">
        <v>2075</v>
      </c>
      <c r="K574" s="142"/>
    </row>
    <row r="575" spans="3:11" ht="51">
      <c r="C575" s="20">
        <v>570</v>
      </c>
      <c r="D575" s="109" t="s">
        <v>2076</v>
      </c>
      <c r="E575" s="109" t="s">
        <v>2077</v>
      </c>
      <c r="F575" s="109" t="s">
        <v>2078</v>
      </c>
      <c r="K575" s="142"/>
    </row>
    <row r="576" spans="3:11" ht="12.75" customHeight="1">
      <c r="C576" s="20">
        <v>571</v>
      </c>
      <c r="D576" s="109" t="s">
        <v>2079</v>
      </c>
      <c r="E576" s="110" t="s">
        <v>2080</v>
      </c>
      <c r="F576" s="109" t="s">
        <v>2081</v>
      </c>
      <c r="K576" s="142"/>
    </row>
    <row r="577" spans="3:11" ht="38.25">
      <c r="C577" s="20">
        <v>572</v>
      </c>
      <c r="D577" s="109" t="s">
        <v>2082</v>
      </c>
      <c r="E577" s="109" t="s">
        <v>2083</v>
      </c>
      <c r="F577" s="109" t="s">
        <v>2084</v>
      </c>
      <c r="K577" s="142"/>
    </row>
    <row r="578" spans="3:11" ht="12.75" customHeight="1">
      <c r="C578" s="20">
        <v>573</v>
      </c>
      <c r="D578" s="109" t="s">
        <v>2085</v>
      </c>
      <c r="E578" s="110" t="s">
        <v>2086</v>
      </c>
      <c r="F578" s="109" t="s">
        <v>2022</v>
      </c>
      <c r="K578" s="142"/>
    </row>
    <row r="579" spans="3:11" ht="12.75" customHeight="1">
      <c r="C579" s="20">
        <v>574</v>
      </c>
      <c r="D579" s="109" t="s">
        <v>2046</v>
      </c>
      <c r="E579" s="109" t="str">
        <f>E540</f>
        <v>Rückzahlungsprofil</v>
      </c>
      <c r="F579" s="109" t="s">
        <v>2087</v>
      </c>
      <c r="K579" s="142"/>
    </row>
    <row r="580" spans="3:11">
      <c r="C580" s="20">
        <v>575</v>
      </c>
      <c r="D580" s="109" t="s">
        <v>1282</v>
      </c>
      <c r="E580" s="110" t="s">
        <v>1283</v>
      </c>
      <c r="F580" s="109" t="s">
        <v>1284</v>
      </c>
      <c r="K580" s="142"/>
    </row>
    <row r="581" spans="3:11" ht="12.75" customHeight="1">
      <c r="C581" s="20">
        <v>576</v>
      </c>
      <c r="D581" s="109" t="s">
        <v>2088</v>
      </c>
      <c r="E581" s="109" t="s">
        <v>2089</v>
      </c>
      <c r="F581" s="109" t="s">
        <v>2090</v>
      </c>
      <c r="K581" s="142"/>
    </row>
    <row r="582" spans="3:11" ht="12.75" customHeight="1">
      <c r="C582" s="20">
        <v>577</v>
      </c>
      <c r="D582" s="109" t="s">
        <v>2091</v>
      </c>
      <c r="E582" s="109" t="s">
        <v>2092</v>
      </c>
      <c r="F582" s="109" t="s">
        <v>2093</v>
      </c>
      <c r="K582" s="142"/>
    </row>
    <row r="583" spans="3:11" ht="23.45" customHeight="1">
      <c r="C583" s="20">
        <v>578</v>
      </c>
      <c r="D583" s="109" t="s">
        <v>2094</v>
      </c>
      <c r="E583" s="109" t="s">
        <v>2095</v>
      </c>
      <c r="F583" s="109" t="s">
        <v>2096</v>
      </c>
      <c r="K583" s="142"/>
    </row>
    <row r="584" spans="3:11" ht="38.25">
      <c r="C584" s="20">
        <v>579</v>
      </c>
      <c r="D584" s="109" t="s">
        <v>2097</v>
      </c>
      <c r="E584" s="109" t="s">
        <v>2098</v>
      </c>
      <c r="F584" s="109" t="s">
        <v>2099</v>
      </c>
      <c r="K584" s="142"/>
    </row>
    <row r="585" spans="3:11" ht="25.5">
      <c r="C585" s="20">
        <v>580</v>
      </c>
      <c r="D585" s="109" t="s">
        <v>2100</v>
      </c>
      <c r="E585" s="109" t="s">
        <v>2101</v>
      </c>
      <c r="F585" s="109" t="s">
        <v>2102</v>
      </c>
      <c r="K585" s="142"/>
    </row>
    <row r="586" spans="3:11" ht="39" thickBot="1">
      <c r="C586" s="20">
        <v>581</v>
      </c>
      <c r="D586" s="109" t="s">
        <v>2103</v>
      </c>
      <c r="E586" s="109" t="s">
        <v>2104</v>
      </c>
      <c r="F586" s="109" t="s">
        <v>2093</v>
      </c>
      <c r="H586" s="144"/>
      <c r="I586" s="144"/>
      <c r="J586" s="144"/>
      <c r="K586" s="145"/>
    </row>
    <row r="587" spans="3:11" ht="25.5">
      <c r="C587" s="20">
        <v>582</v>
      </c>
      <c r="D587" s="109" t="s">
        <v>2105</v>
      </c>
      <c r="E587" s="110" t="s">
        <v>2106</v>
      </c>
      <c r="F587" s="110" t="s">
        <v>2107</v>
      </c>
      <c r="K587" s="142"/>
    </row>
    <row r="588" spans="3:11">
      <c r="C588" s="20">
        <v>583</v>
      </c>
      <c r="D588" s="109" t="s">
        <v>2108</v>
      </c>
      <c r="E588" s="109" t="s">
        <v>2109</v>
      </c>
      <c r="F588" s="109" t="s">
        <v>2110</v>
      </c>
      <c r="K588" s="142"/>
    </row>
    <row r="589" spans="3:11" ht="25.5">
      <c r="C589" s="20">
        <v>584</v>
      </c>
      <c r="D589" s="361" t="s">
        <v>2111</v>
      </c>
      <c r="E589" s="361" t="str">
        <f>E1409</f>
        <v xml:space="preserve"> </v>
      </c>
      <c r="F589" s="361" t="s">
        <v>2112</v>
      </c>
      <c r="K589" s="142"/>
    </row>
    <row r="590" spans="3:11">
      <c r="C590" s="20">
        <v>585</v>
      </c>
      <c r="D590" s="109" t="s">
        <v>2113</v>
      </c>
      <c r="E590" s="109" t="s">
        <v>2114</v>
      </c>
      <c r="F590" s="109" t="s">
        <v>2115</v>
      </c>
      <c r="K590" s="142"/>
    </row>
    <row r="591" spans="3:11">
      <c r="C591" s="20">
        <v>586</v>
      </c>
      <c r="D591" s="109" t="s">
        <v>2116</v>
      </c>
      <c r="E591" s="109" t="s">
        <v>2117</v>
      </c>
      <c r="F591" s="109" t="s">
        <v>2118</v>
      </c>
      <c r="K591" s="142"/>
    </row>
    <row r="592" spans="3:11">
      <c r="C592" s="20">
        <v>587</v>
      </c>
      <c r="D592" s="109" t="s">
        <v>2119</v>
      </c>
      <c r="E592" s="109" t="s">
        <v>2120</v>
      </c>
      <c r="F592" s="109" t="s">
        <v>2121</v>
      </c>
      <c r="K592" s="142"/>
    </row>
    <row r="593" spans="3:11">
      <c r="C593" s="20">
        <v>588</v>
      </c>
      <c r="D593" s="109" t="s">
        <v>2122</v>
      </c>
      <c r="E593" s="109" t="s">
        <v>2123</v>
      </c>
      <c r="F593" s="109" t="s">
        <v>2124</v>
      </c>
      <c r="K593" s="142"/>
    </row>
    <row r="594" spans="3:11">
      <c r="C594" s="20">
        <v>589</v>
      </c>
      <c r="D594" s="109" t="s">
        <v>2125</v>
      </c>
      <c r="E594" s="109" t="s">
        <v>2126</v>
      </c>
      <c r="F594" s="109" t="s">
        <v>2127</v>
      </c>
      <c r="K594" s="142"/>
    </row>
    <row r="595" spans="3:11">
      <c r="C595" s="20">
        <v>590</v>
      </c>
      <c r="D595" s="109" t="s">
        <v>2128</v>
      </c>
      <c r="E595" s="109" t="s">
        <v>2129</v>
      </c>
      <c r="F595" s="109" t="s">
        <v>2130</v>
      </c>
      <c r="K595" s="142"/>
    </row>
    <row r="596" spans="3:11">
      <c r="C596" s="20">
        <v>591</v>
      </c>
      <c r="D596" s="109" t="s">
        <v>2131</v>
      </c>
      <c r="E596" s="109" t="s">
        <v>2132</v>
      </c>
      <c r="F596" s="109" t="s">
        <v>2133</v>
      </c>
      <c r="K596" s="142"/>
    </row>
    <row r="597" spans="3:11">
      <c r="C597" s="20">
        <v>592</v>
      </c>
      <c r="D597" s="109" t="s">
        <v>2134</v>
      </c>
      <c r="E597" s="109" t="s">
        <v>2135</v>
      </c>
      <c r="F597" s="109" t="s">
        <v>2136</v>
      </c>
      <c r="K597" s="142"/>
    </row>
    <row r="598" spans="3:11" ht="25.5">
      <c r="C598" s="20">
        <v>593</v>
      </c>
      <c r="D598" s="109" t="s">
        <v>2137</v>
      </c>
      <c r="E598" s="109" t="s">
        <v>2138</v>
      </c>
      <c r="F598" s="109" t="s">
        <v>2139</v>
      </c>
      <c r="K598" s="142"/>
    </row>
    <row r="599" spans="3:11">
      <c r="C599" s="20">
        <v>594</v>
      </c>
      <c r="D599" s="109" t="s">
        <v>2035</v>
      </c>
      <c r="E599" s="110" t="s">
        <v>2036</v>
      </c>
      <c r="F599" s="109" t="s">
        <v>2035</v>
      </c>
      <c r="K599" s="142"/>
    </row>
    <row r="600" spans="3:11" ht="51">
      <c r="C600" s="20">
        <v>595</v>
      </c>
      <c r="D600" s="361" t="s">
        <v>2140</v>
      </c>
      <c r="E600" s="362" t="s">
        <v>2141</v>
      </c>
      <c r="F600" s="361" t="s">
        <v>2142</v>
      </c>
      <c r="K600" s="142"/>
    </row>
    <row r="601" spans="3:11">
      <c r="C601" s="20">
        <v>596</v>
      </c>
      <c r="D601" s="332"/>
      <c r="E601" s="332"/>
      <c r="F601" s="332"/>
      <c r="K601" s="142"/>
    </row>
    <row r="602" spans="3:11">
      <c r="C602" s="20">
        <v>597</v>
      </c>
      <c r="D602" s="332"/>
      <c r="E602" s="332"/>
      <c r="F602" s="332"/>
      <c r="K602" s="142"/>
    </row>
    <row r="603" spans="3:11">
      <c r="C603" s="20">
        <v>598</v>
      </c>
      <c r="D603" s="332"/>
      <c r="E603" s="332"/>
      <c r="F603" s="332"/>
      <c r="K603" s="142"/>
    </row>
    <row r="604" spans="3:11">
      <c r="C604" s="20">
        <v>599</v>
      </c>
      <c r="D604" s="332"/>
      <c r="E604" s="332"/>
      <c r="F604" s="332"/>
      <c r="K604" s="142"/>
    </row>
    <row r="605" spans="3:11">
      <c r="C605" s="20">
        <v>600</v>
      </c>
      <c r="D605" s="146"/>
      <c r="E605" s="146"/>
      <c r="F605" s="146"/>
      <c r="K605" s="142"/>
    </row>
    <row r="606" spans="3:11">
      <c r="C606" s="20">
        <v>601</v>
      </c>
      <c r="D606" s="146"/>
      <c r="E606" s="146"/>
      <c r="F606" s="146"/>
      <c r="K606" s="142"/>
    </row>
    <row r="607" spans="3:11">
      <c r="C607" s="20">
        <v>602</v>
      </c>
      <c r="D607" s="146"/>
      <c r="E607" s="146"/>
      <c r="F607" s="146"/>
      <c r="K607" s="142"/>
    </row>
    <row r="608" spans="3:11">
      <c r="C608" s="20">
        <v>603</v>
      </c>
      <c r="D608" s="146"/>
      <c r="E608" s="146"/>
      <c r="F608" s="146"/>
      <c r="K608" s="142"/>
    </row>
    <row r="609" spans="3:11">
      <c r="C609" s="20">
        <v>604</v>
      </c>
      <c r="D609" s="146"/>
      <c r="E609" s="146"/>
      <c r="F609" s="146"/>
      <c r="K609" s="142"/>
    </row>
    <row r="610" spans="3:11">
      <c r="C610" s="20">
        <v>605</v>
      </c>
      <c r="D610" s="146"/>
      <c r="E610" s="146"/>
      <c r="F610" s="146"/>
      <c r="K610" s="142"/>
    </row>
    <row r="611" spans="3:11">
      <c r="C611" s="20">
        <v>606</v>
      </c>
      <c r="D611" s="146"/>
      <c r="E611" s="146"/>
      <c r="F611" s="146"/>
      <c r="K611" s="142"/>
    </row>
    <row r="612" spans="3:11">
      <c r="C612" s="20">
        <v>607</v>
      </c>
      <c r="D612" s="146"/>
      <c r="E612" s="146"/>
      <c r="F612" s="146"/>
      <c r="K612" s="142"/>
    </row>
    <row r="613" spans="3:11">
      <c r="C613" s="20">
        <v>608</v>
      </c>
      <c r="D613" s="146"/>
      <c r="E613" s="146"/>
      <c r="F613" s="146"/>
      <c r="K613" s="142"/>
    </row>
    <row r="614" spans="3:11">
      <c r="C614" s="20">
        <v>609</v>
      </c>
      <c r="D614" s="146"/>
      <c r="E614" s="146"/>
      <c r="F614" s="146"/>
      <c r="K614" s="142"/>
    </row>
    <row r="615" spans="3:11">
      <c r="C615" s="20">
        <v>610</v>
      </c>
      <c r="D615" s="146"/>
      <c r="E615" s="146"/>
      <c r="F615" s="146"/>
      <c r="K615" s="142"/>
    </row>
    <row r="616" spans="3:11">
      <c r="C616" s="20">
        <v>611</v>
      </c>
      <c r="D616" s="146"/>
      <c r="E616" s="146"/>
      <c r="F616" s="146"/>
      <c r="K616" s="142"/>
    </row>
    <row r="617" spans="3:11">
      <c r="C617" s="20">
        <v>612</v>
      </c>
      <c r="D617" s="146"/>
      <c r="E617" s="64"/>
      <c r="F617" s="146"/>
      <c r="K617" s="142"/>
    </row>
    <row r="618" spans="3:11">
      <c r="C618" s="20">
        <v>613</v>
      </c>
      <c r="D618" s="146"/>
      <c r="E618" s="64"/>
      <c r="K618" s="142"/>
    </row>
    <row r="619" spans="3:11" ht="13.5" thickBot="1">
      <c r="C619" s="20">
        <v>614</v>
      </c>
      <c r="D619" s="143"/>
      <c r="E619" s="144"/>
      <c r="F619" s="143"/>
      <c r="H619" s="144"/>
      <c r="I619" s="144"/>
      <c r="J619" s="144"/>
      <c r="K619" s="145"/>
    </row>
    <row r="620" spans="3:11" ht="22.5">
      <c r="C620" s="20">
        <v>615</v>
      </c>
      <c r="D620" s="113" t="s">
        <v>2143</v>
      </c>
      <c r="E620" s="114" t="s">
        <v>2143</v>
      </c>
      <c r="F620" s="113" t="s">
        <v>2144</v>
      </c>
      <c r="K620" s="142"/>
    </row>
    <row r="621" spans="3:11">
      <c r="C621" s="20">
        <v>616</v>
      </c>
      <c r="D621" s="147"/>
      <c r="E621" s="59"/>
      <c r="F621" s="219"/>
      <c r="K621" s="142"/>
    </row>
    <row r="622" spans="3:11">
      <c r="C622" s="20">
        <v>617</v>
      </c>
      <c r="D622" s="116" t="s">
        <v>2145</v>
      </c>
      <c r="E622" s="117" t="s">
        <v>2146</v>
      </c>
      <c r="F622" s="238" t="s">
        <v>2147</v>
      </c>
      <c r="K622" s="142"/>
    </row>
    <row r="623" spans="3:11">
      <c r="C623" s="20">
        <v>618</v>
      </c>
      <c r="D623" s="363" t="s">
        <v>2148</v>
      </c>
      <c r="E623" s="364" t="s">
        <v>2149</v>
      </c>
      <c r="F623" s="365" t="s">
        <v>2150</v>
      </c>
      <c r="K623" s="142"/>
    </row>
    <row r="624" spans="3:11">
      <c r="C624" s="20">
        <v>619</v>
      </c>
      <c r="D624" s="363" t="s">
        <v>2151</v>
      </c>
      <c r="E624" s="364" t="s">
        <v>2152</v>
      </c>
      <c r="F624" s="365" t="s">
        <v>2153</v>
      </c>
      <c r="K624" s="142"/>
    </row>
    <row r="625" spans="3:11">
      <c r="C625" s="20">
        <v>620</v>
      </c>
      <c r="D625" s="40" t="s">
        <v>1520</v>
      </c>
      <c r="E625" s="16" t="s">
        <v>1521</v>
      </c>
      <c r="F625" s="223" t="s">
        <v>1522</v>
      </c>
      <c r="K625" s="142"/>
    </row>
    <row r="626" spans="3:11" ht="25.5">
      <c r="C626" s="20">
        <v>621</v>
      </c>
      <c r="D626" s="169" t="s">
        <v>2154</v>
      </c>
      <c r="E626" s="253" t="s">
        <v>2155</v>
      </c>
      <c r="K626" s="142"/>
    </row>
    <row r="627" spans="3:11" ht="25.5">
      <c r="C627" s="20">
        <v>622</v>
      </c>
      <c r="D627" s="170" t="s">
        <v>2156</v>
      </c>
      <c r="E627" s="366" t="s">
        <v>2157</v>
      </c>
      <c r="F627" s="149" t="s">
        <v>2158</v>
      </c>
      <c r="K627" s="142"/>
    </row>
    <row r="628" spans="3:11" ht="51">
      <c r="C628" s="20">
        <v>623</v>
      </c>
      <c r="D628" s="168" t="s">
        <v>2159</v>
      </c>
      <c r="E628" s="169" t="s">
        <v>2160</v>
      </c>
      <c r="F628" s="168" t="s">
        <v>2161</v>
      </c>
      <c r="K628" s="142"/>
    </row>
    <row r="629" spans="3:11">
      <c r="C629" s="20">
        <v>624</v>
      </c>
      <c r="D629" s="367" t="s">
        <v>2162</v>
      </c>
      <c r="E629" s="368" t="s">
        <v>2163</v>
      </c>
      <c r="F629" s="169" t="s">
        <v>2164</v>
      </c>
      <c r="K629" s="142"/>
    </row>
    <row r="630" spans="3:11" ht="38.25">
      <c r="C630" s="20">
        <v>625</v>
      </c>
      <c r="D630" s="168" t="s">
        <v>2165</v>
      </c>
      <c r="E630" s="169" t="s">
        <v>2166</v>
      </c>
      <c r="F630" s="332" t="s">
        <v>2167</v>
      </c>
      <c r="K630" s="142"/>
    </row>
    <row r="631" spans="3:11" ht="96" customHeight="1">
      <c r="C631" s="20">
        <v>626</v>
      </c>
      <c r="D631" s="169" t="s">
        <v>2168</v>
      </c>
      <c r="E631" s="169" t="s">
        <v>2169</v>
      </c>
      <c r="F631" s="169" t="s">
        <v>2170</v>
      </c>
      <c r="K631" s="142"/>
    </row>
    <row r="632" spans="3:11" ht="85.5" customHeight="1">
      <c r="C632" s="20">
        <v>627</v>
      </c>
      <c r="D632" s="239" t="s">
        <v>2171</v>
      </c>
      <c r="E632" s="263" t="s">
        <v>2172</v>
      </c>
      <c r="F632" s="239" t="s">
        <v>2173</v>
      </c>
      <c r="K632" s="142"/>
    </row>
    <row r="633" spans="3:11">
      <c r="C633" s="20">
        <v>628</v>
      </c>
      <c r="D633" s="118" t="s">
        <v>1323</v>
      </c>
      <c r="E633" s="119" t="s">
        <v>1324</v>
      </c>
      <c r="F633" s="125" t="s">
        <v>2174</v>
      </c>
      <c r="K633" s="142"/>
    </row>
    <row r="634" spans="3:11">
      <c r="C634" s="20">
        <v>629</v>
      </c>
      <c r="D634" s="120" t="s">
        <v>2175</v>
      </c>
      <c r="E634" s="121" t="s">
        <v>2176</v>
      </c>
      <c r="F634" s="120" t="s">
        <v>2177</v>
      </c>
      <c r="K634" s="142"/>
    </row>
    <row r="635" spans="3:11">
      <c r="C635" s="20">
        <v>630</v>
      </c>
      <c r="D635" s="86" t="s">
        <v>2178</v>
      </c>
      <c r="E635" s="122" t="s">
        <v>2074</v>
      </c>
      <c r="F635" s="86" t="s">
        <v>2179</v>
      </c>
      <c r="K635" s="142"/>
    </row>
    <row r="636" spans="3:11">
      <c r="C636" s="20">
        <v>631</v>
      </c>
      <c r="D636" s="123" t="s">
        <v>2180</v>
      </c>
      <c r="E636" s="124" t="s">
        <v>2181</v>
      </c>
      <c r="F636" s="123" t="s">
        <v>2182</v>
      </c>
      <c r="K636" s="142"/>
    </row>
    <row r="637" spans="3:11" ht="25.5">
      <c r="C637" s="20">
        <v>632</v>
      </c>
      <c r="D637" s="125" t="s">
        <v>2183</v>
      </c>
      <c r="E637" s="126" t="s">
        <v>2184</v>
      </c>
      <c r="F637" s="125" t="s">
        <v>2185</v>
      </c>
      <c r="K637" s="142"/>
    </row>
    <row r="638" spans="3:11" ht="84">
      <c r="C638" s="20">
        <v>633</v>
      </c>
      <c r="D638" s="127" t="s">
        <v>2186</v>
      </c>
      <c r="E638" s="128" t="s">
        <v>2187</v>
      </c>
      <c r="F638" s="127" t="s">
        <v>2188</v>
      </c>
      <c r="K638" s="142"/>
    </row>
    <row r="639" spans="3:11">
      <c r="C639" s="20">
        <v>634</v>
      </c>
      <c r="D639" s="125" t="s">
        <v>2189</v>
      </c>
      <c r="E639" s="126" t="s">
        <v>2190</v>
      </c>
      <c r="F639" s="125" t="s">
        <v>2191</v>
      </c>
      <c r="K639" s="142"/>
    </row>
    <row r="640" spans="3:11" ht="84">
      <c r="C640" s="20">
        <v>635</v>
      </c>
      <c r="D640" s="127" t="s">
        <v>2192</v>
      </c>
      <c r="E640" s="128" t="s">
        <v>2193</v>
      </c>
      <c r="F640" s="127" t="s">
        <v>2194</v>
      </c>
      <c r="K640" s="142"/>
    </row>
    <row r="641" spans="3:11" ht="25.5">
      <c r="C641" s="20">
        <v>636</v>
      </c>
      <c r="D641" s="125" t="s">
        <v>2195</v>
      </c>
      <c r="E641" s="125" t="s">
        <v>2196</v>
      </c>
      <c r="F641" s="125" t="s">
        <v>2197</v>
      </c>
      <c r="K641" s="142"/>
    </row>
    <row r="642" spans="3:11" ht="60">
      <c r="C642" s="20">
        <v>637</v>
      </c>
      <c r="D642" s="127" t="s">
        <v>2198</v>
      </c>
      <c r="E642" s="128" t="s">
        <v>2199</v>
      </c>
      <c r="F642" s="127" t="s">
        <v>2200</v>
      </c>
      <c r="K642" s="142"/>
    </row>
    <row r="643" spans="3:11" ht="25.5">
      <c r="C643" s="20">
        <v>638</v>
      </c>
      <c r="D643" s="125" t="s">
        <v>2201</v>
      </c>
      <c r="E643" s="125" t="s">
        <v>2202</v>
      </c>
      <c r="F643" s="125" t="s">
        <v>2203</v>
      </c>
      <c r="K643" s="142"/>
    </row>
    <row r="644" spans="3:11" ht="60">
      <c r="C644" s="20">
        <v>639</v>
      </c>
      <c r="D644" s="127" t="s">
        <v>2204</v>
      </c>
      <c r="E644" s="128" t="s">
        <v>2205</v>
      </c>
      <c r="F644" s="127" t="s">
        <v>2206</v>
      </c>
      <c r="K644" s="142"/>
    </row>
    <row r="645" spans="3:11">
      <c r="C645" s="20">
        <v>640</v>
      </c>
      <c r="D645" s="125" t="s">
        <v>2207</v>
      </c>
      <c r="E645" s="126" t="s">
        <v>2208</v>
      </c>
      <c r="F645" s="125" t="s">
        <v>2209</v>
      </c>
      <c r="K645" s="142"/>
    </row>
    <row r="646" spans="3:11" ht="36">
      <c r="C646" s="20">
        <v>641</v>
      </c>
      <c r="D646" s="127" t="s">
        <v>2210</v>
      </c>
      <c r="E646" s="128" t="s">
        <v>2211</v>
      </c>
      <c r="F646" s="127" t="s">
        <v>2212</v>
      </c>
      <c r="K646" s="142"/>
    </row>
    <row r="647" spans="3:11">
      <c r="C647" s="20">
        <v>642</v>
      </c>
      <c r="D647" s="125" t="s">
        <v>2213</v>
      </c>
      <c r="E647" s="126" t="s">
        <v>2214</v>
      </c>
      <c r="F647" s="125" t="s">
        <v>2215</v>
      </c>
      <c r="K647" s="142"/>
    </row>
    <row r="648" spans="3:11" ht="36">
      <c r="C648" s="20">
        <v>643</v>
      </c>
      <c r="D648" s="127" t="s">
        <v>2216</v>
      </c>
      <c r="E648" s="128" t="s">
        <v>2217</v>
      </c>
      <c r="F648" s="127" t="s">
        <v>2218</v>
      </c>
      <c r="K648" s="142"/>
    </row>
    <row r="649" spans="3:11">
      <c r="C649" s="20">
        <v>644</v>
      </c>
      <c r="D649" s="125" t="s">
        <v>2219</v>
      </c>
      <c r="E649" s="126" t="s">
        <v>2220</v>
      </c>
      <c r="F649" s="125" t="s">
        <v>2221</v>
      </c>
      <c r="K649" s="142"/>
    </row>
    <row r="650" spans="3:11" ht="24">
      <c r="C650" s="20">
        <v>645</v>
      </c>
      <c r="D650" s="127" t="s">
        <v>2222</v>
      </c>
      <c r="E650" s="128" t="s">
        <v>2223</v>
      </c>
      <c r="F650" s="127" t="s">
        <v>2224</v>
      </c>
      <c r="K650" s="142"/>
    </row>
    <row r="651" spans="3:11" ht="25.5">
      <c r="C651" s="20">
        <v>646</v>
      </c>
      <c r="D651" s="125" t="s">
        <v>2225</v>
      </c>
      <c r="E651" s="125" t="s">
        <v>2226</v>
      </c>
      <c r="F651" s="125" t="s">
        <v>2227</v>
      </c>
      <c r="K651" s="142"/>
    </row>
    <row r="652" spans="3:11" ht="36">
      <c r="C652" s="20">
        <v>647</v>
      </c>
      <c r="D652" s="127" t="s">
        <v>2228</v>
      </c>
      <c r="E652" s="128" t="s">
        <v>2229</v>
      </c>
      <c r="F652" s="127" t="s">
        <v>2230</v>
      </c>
      <c r="K652" s="142"/>
    </row>
    <row r="653" spans="3:11">
      <c r="C653" s="20">
        <v>648</v>
      </c>
      <c r="D653" s="125" t="s">
        <v>2231</v>
      </c>
      <c r="E653" s="126" t="s">
        <v>2232</v>
      </c>
      <c r="F653" s="125" t="s">
        <v>2233</v>
      </c>
      <c r="K653" s="142"/>
    </row>
    <row r="654" spans="3:11" ht="48">
      <c r="C654" s="20">
        <v>649</v>
      </c>
      <c r="D654" s="127" t="s">
        <v>2234</v>
      </c>
      <c r="E654" s="128" t="s">
        <v>2235</v>
      </c>
      <c r="F654" s="127" t="s">
        <v>2236</v>
      </c>
      <c r="K654" s="142"/>
    </row>
    <row r="655" spans="3:11" ht="25.5">
      <c r="C655" s="20">
        <v>650</v>
      </c>
      <c r="D655" s="125" t="s">
        <v>2237</v>
      </c>
      <c r="E655" s="126" t="s">
        <v>2238</v>
      </c>
      <c r="F655" s="125" t="s">
        <v>2239</v>
      </c>
      <c r="K655" s="142"/>
    </row>
    <row r="656" spans="3:11" ht="48">
      <c r="C656" s="20">
        <v>651</v>
      </c>
      <c r="D656" s="127" t="s">
        <v>2240</v>
      </c>
      <c r="E656" s="128" t="s">
        <v>2241</v>
      </c>
      <c r="F656" s="127" t="s">
        <v>2242</v>
      </c>
      <c r="K656" s="142"/>
    </row>
    <row r="657" spans="3:11">
      <c r="C657" s="20">
        <v>652</v>
      </c>
      <c r="D657" s="125" t="s">
        <v>2243</v>
      </c>
      <c r="E657" s="126" t="s">
        <v>2244</v>
      </c>
      <c r="F657" s="125" t="s">
        <v>2245</v>
      </c>
      <c r="K657" s="142"/>
    </row>
    <row r="658" spans="3:11" ht="72">
      <c r="C658" s="20">
        <v>653</v>
      </c>
      <c r="D658" s="127" t="s">
        <v>2246</v>
      </c>
      <c r="E658" s="128" t="s">
        <v>2247</v>
      </c>
      <c r="F658" s="127" t="s">
        <v>2248</v>
      </c>
      <c r="K658" s="142"/>
    </row>
    <row r="659" spans="3:11">
      <c r="C659" s="20">
        <v>654</v>
      </c>
      <c r="D659" s="125" t="s">
        <v>2249</v>
      </c>
      <c r="E659" s="126" t="s">
        <v>2250</v>
      </c>
      <c r="F659" s="125" t="s">
        <v>2251</v>
      </c>
      <c r="K659" s="142"/>
    </row>
    <row r="660" spans="3:11" ht="24">
      <c r="C660" s="20">
        <v>655</v>
      </c>
      <c r="D660" s="127" t="s">
        <v>2252</v>
      </c>
      <c r="E660" s="128" t="s">
        <v>2250</v>
      </c>
      <c r="F660" s="127" t="s">
        <v>2253</v>
      </c>
      <c r="K660" s="142"/>
    </row>
    <row r="661" spans="3:11" ht="25.5">
      <c r="C661" s="20">
        <v>656</v>
      </c>
      <c r="D661" s="125" t="s">
        <v>2254</v>
      </c>
      <c r="E661" s="126" t="s">
        <v>2255</v>
      </c>
      <c r="F661" s="125" t="s">
        <v>2256</v>
      </c>
      <c r="K661" s="142"/>
    </row>
    <row r="662" spans="3:11" ht="36">
      <c r="C662" s="20">
        <v>657</v>
      </c>
      <c r="D662" s="127" t="s">
        <v>2257</v>
      </c>
      <c r="E662" s="128" t="s">
        <v>2258</v>
      </c>
      <c r="F662" s="127" t="s">
        <v>2259</v>
      </c>
      <c r="K662" s="142"/>
    </row>
    <row r="663" spans="3:11">
      <c r="C663" s="20">
        <v>658</v>
      </c>
      <c r="D663" s="125" t="s">
        <v>2260</v>
      </c>
      <c r="E663" s="126" t="s">
        <v>2261</v>
      </c>
      <c r="F663" s="125" t="s">
        <v>2262</v>
      </c>
      <c r="K663" s="142"/>
    </row>
    <row r="664" spans="3:11" ht="48">
      <c r="C664" s="20">
        <v>659</v>
      </c>
      <c r="D664" s="127" t="s">
        <v>2263</v>
      </c>
      <c r="E664" s="128" t="s">
        <v>2264</v>
      </c>
      <c r="F664" s="127" t="s">
        <v>2265</v>
      </c>
      <c r="K664" s="142"/>
    </row>
    <row r="665" spans="3:11" ht="25.5">
      <c r="C665" s="20">
        <v>660</v>
      </c>
      <c r="D665" s="125" t="s">
        <v>2266</v>
      </c>
      <c r="E665" s="126" t="s">
        <v>2267</v>
      </c>
      <c r="F665" s="125" t="s">
        <v>2227</v>
      </c>
      <c r="K665" s="142"/>
    </row>
    <row r="666" spans="3:11" ht="36">
      <c r="C666" s="20">
        <v>661</v>
      </c>
      <c r="D666" s="127" t="s">
        <v>2268</v>
      </c>
      <c r="E666" s="128" t="s">
        <v>2269</v>
      </c>
      <c r="F666" s="127" t="s">
        <v>2270</v>
      </c>
      <c r="K666" s="142"/>
    </row>
    <row r="667" spans="3:11">
      <c r="C667" s="20">
        <v>662</v>
      </c>
      <c r="D667" s="146"/>
      <c r="E667" s="64"/>
      <c r="F667" s="146"/>
      <c r="K667" s="142"/>
    </row>
    <row r="668" spans="3:11" ht="76.5">
      <c r="C668" s="20">
        <v>663</v>
      </c>
      <c r="D668" s="240" t="s">
        <v>2271</v>
      </c>
      <c r="E668" s="240" t="s">
        <v>2272</v>
      </c>
      <c r="F668" s="240" t="s">
        <v>2273</v>
      </c>
      <c r="K668" s="142"/>
    </row>
    <row r="669" spans="3:11">
      <c r="C669" s="20">
        <v>664</v>
      </c>
      <c r="D669" s="146"/>
      <c r="E669" s="64"/>
      <c r="F669" s="146"/>
      <c r="K669" s="142"/>
    </row>
    <row r="670" spans="3:11">
      <c r="C670" s="20">
        <v>665</v>
      </c>
      <c r="D670" s="146"/>
      <c r="E670" s="64"/>
      <c r="F670" s="146"/>
      <c r="K670" s="142"/>
    </row>
    <row r="671" spans="3:11">
      <c r="C671" s="20">
        <v>666</v>
      </c>
      <c r="D671" s="118" t="s">
        <v>1323</v>
      </c>
      <c r="E671" s="119" t="s">
        <v>1324</v>
      </c>
      <c r="F671" s="125" t="s">
        <v>2174</v>
      </c>
      <c r="K671" s="142"/>
    </row>
    <row r="672" spans="3:11">
      <c r="C672" s="20">
        <v>667</v>
      </c>
      <c r="D672" s="120" t="s">
        <v>2175</v>
      </c>
      <c r="E672" s="121" t="s">
        <v>2176</v>
      </c>
      <c r="F672" s="120" t="s">
        <v>2274</v>
      </c>
      <c r="K672" s="142"/>
    </row>
    <row r="673" spans="3:11">
      <c r="C673" s="20">
        <v>668</v>
      </c>
      <c r="D673" s="86" t="s">
        <v>770</v>
      </c>
      <c r="E673" s="122" t="s">
        <v>2275</v>
      </c>
      <c r="F673" s="86" t="s">
        <v>2179</v>
      </c>
      <c r="K673" s="142"/>
    </row>
    <row r="674" spans="3:11">
      <c r="C674" s="20">
        <v>669</v>
      </c>
      <c r="D674" s="123" t="s">
        <v>2276</v>
      </c>
      <c r="E674" s="124" t="s">
        <v>2277</v>
      </c>
      <c r="F674" s="123" t="s">
        <v>2182</v>
      </c>
      <c r="K674" s="142"/>
    </row>
    <row r="675" spans="3:11" ht="25.5">
      <c r="C675" s="20">
        <v>670</v>
      </c>
      <c r="D675" s="125" t="s">
        <v>2195</v>
      </c>
      <c r="E675" s="126" t="s">
        <v>2196</v>
      </c>
      <c r="F675" s="125" t="s">
        <v>2197</v>
      </c>
      <c r="K675" s="142"/>
    </row>
    <row r="676" spans="3:11" ht="60">
      <c r="C676" s="20">
        <v>671</v>
      </c>
      <c r="D676" s="127" t="s">
        <v>2278</v>
      </c>
      <c r="E676" s="128" t="s">
        <v>2279</v>
      </c>
      <c r="F676" s="127" t="s">
        <v>2280</v>
      </c>
      <c r="K676" s="142"/>
    </row>
    <row r="677" spans="3:11" ht="25.5">
      <c r="C677" s="20">
        <v>672</v>
      </c>
      <c r="D677" s="125" t="s">
        <v>2201</v>
      </c>
      <c r="E677" s="126" t="s">
        <v>2202</v>
      </c>
      <c r="F677" s="125" t="s">
        <v>2203</v>
      </c>
      <c r="K677" s="142"/>
    </row>
    <row r="678" spans="3:11" ht="60">
      <c r="C678" s="20">
        <v>673</v>
      </c>
      <c r="D678" s="127" t="s">
        <v>2281</v>
      </c>
      <c r="E678" s="128" t="s">
        <v>2282</v>
      </c>
      <c r="F678" s="127" t="s">
        <v>2283</v>
      </c>
      <c r="K678" s="142"/>
    </row>
    <row r="679" spans="3:11">
      <c r="C679" s="20">
        <v>674</v>
      </c>
      <c r="D679" s="125" t="s">
        <v>2207</v>
      </c>
      <c r="E679" s="126" t="s">
        <v>2208</v>
      </c>
      <c r="F679" s="125" t="s">
        <v>2209</v>
      </c>
      <c r="K679" s="142"/>
    </row>
    <row r="680" spans="3:11" ht="36">
      <c r="C680" s="20">
        <v>675</v>
      </c>
      <c r="D680" s="127" t="s">
        <v>2284</v>
      </c>
      <c r="E680" s="128" t="s">
        <v>2285</v>
      </c>
      <c r="F680" s="127" t="s">
        <v>2212</v>
      </c>
      <c r="K680" s="142"/>
    </row>
    <row r="681" spans="3:11">
      <c r="C681" s="20">
        <v>676</v>
      </c>
      <c r="D681" s="125" t="s">
        <v>2213</v>
      </c>
      <c r="E681" s="126" t="s">
        <v>2214</v>
      </c>
      <c r="F681" s="125" t="s">
        <v>2215</v>
      </c>
      <c r="K681" s="142"/>
    </row>
    <row r="682" spans="3:11" ht="36">
      <c r="C682" s="20">
        <v>677</v>
      </c>
      <c r="D682" s="127" t="s">
        <v>2286</v>
      </c>
      <c r="E682" s="128" t="s">
        <v>2287</v>
      </c>
      <c r="F682" s="127" t="s">
        <v>2218</v>
      </c>
      <c r="K682" s="142"/>
    </row>
    <row r="683" spans="3:11">
      <c r="C683" s="20">
        <v>678</v>
      </c>
      <c r="D683" s="125" t="s">
        <v>2219</v>
      </c>
      <c r="E683" s="126" t="s">
        <v>2220</v>
      </c>
      <c r="F683" s="125" t="s">
        <v>2221</v>
      </c>
      <c r="K683" s="142"/>
    </row>
    <row r="684" spans="3:11" ht="24">
      <c r="C684" s="20">
        <v>679</v>
      </c>
      <c r="D684" s="127" t="s">
        <v>2288</v>
      </c>
      <c r="E684" s="128" t="s">
        <v>2223</v>
      </c>
      <c r="F684" s="127" t="s">
        <v>2289</v>
      </c>
      <c r="K684" s="142"/>
    </row>
    <row r="685" spans="3:11" ht="25.5">
      <c r="C685" s="20">
        <v>680</v>
      </c>
      <c r="D685" s="125" t="s">
        <v>2225</v>
      </c>
      <c r="E685" s="126" t="s">
        <v>2226</v>
      </c>
      <c r="F685" s="125" t="s">
        <v>2227</v>
      </c>
      <c r="K685" s="142"/>
    </row>
    <row r="686" spans="3:11" ht="36">
      <c r="C686" s="20">
        <v>681</v>
      </c>
      <c r="D686" s="127" t="s">
        <v>2290</v>
      </c>
      <c r="E686" s="128" t="s">
        <v>2291</v>
      </c>
      <c r="F686" s="127" t="s">
        <v>2292</v>
      </c>
      <c r="K686" s="142"/>
    </row>
    <row r="687" spans="3:11">
      <c r="C687" s="20">
        <v>682</v>
      </c>
      <c r="D687" s="125" t="s">
        <v>2231</v>
      </c>
      <c r="E687" s="126" t="s">
        <v>2232</v>
      </c>
      <c r="F687" s="125" t="s">
        <v>2233</v>
      </c>
      <c r="K687" s="142"/>
    </row>
    <row r="688" spans="3:11" ht="48">
      <c r="C688" s="20">
        <v>683</v>
      </c>
      <c r="D688" s="127" t="s">
        <v>2293</v>
      </c>
      <c r="E688" s="128" t="s">
        <v>2294</v>
      </c>
      <c r="F688" s="127" t="s">
        <v>2295</v>
      </c>
      <c r="K688" s="142"/>
    </row>
    <row r="689" spans="3:11" ht="25.5">
      <c r="C689" s="20">
        <v>684</v>
      </c>
      <c r="D689" s="125" t="s">
        <v>2237</v>
      </c>
      <c r="E689" s="126" t="s">
        <v>2238</v>
      </c>
      <c r="F689" s="125" t="s">
        <v>2239</v>
      </c>
      <c r="K689" s="142"/>
    </row>
    <row r="690" spans="3:11" ht="48">
      <c r="C690" s="20">
        <v>685</v>
      </c>
      <c r="D690" s="127" t="s">
        <v>2296</v>
      </c>
      <c r="E690" s="128" t="s">
        <v>2297</v>
      </c>
      <c r="F690" s="127" t="s">
        <v>2298</v>
      </c>
      <c r="K690" s="142"/>
    </row>
    <row r="691" spans="3:11">
      <c r="C691" s="20">
        <v>686</v>
      </c>
      <c r="D691" s="125" t="s">
        <v>2243</v>
      </c>
      <c r="E691" s="126" t="s">
        <v>2244</v>
      </c>
      <c r="F691" s="125" t="s">
        <v>2245</v>
      </c>
      <c r="K691" s="142"/>
    </row>
    <row r="692" spans="3:11" ht="72">
      <c r="C692" s="20">
        <v>687</v>
      </c>
      <c r="D692" s="127" t="s">
        <v>2246</v>
      </c>
      <c r="E692" s="128" t="s">
        <v>2247</v>
      </c>
      <c r="F692" s="127" t="s">
        <v>2248</v>
      </c>
      <c r="K692" s="142"/>
    </row>
    <row r="693" spans="3:11">
      <c r="C693" s="20">
        <v>688</v>
      </c>
      <c r="D693" s="125" t="s">
        <v>2249</v>
      </c>
      <c r="E693" s="126" t="s">
        <v>2250</v>
      </c>
      <c r="F693" s="125" t="s">
        <v>2251</v>
      </c>
      <c r="K693" s="142"/>
    </row>
    <row r="694" spans="3:11" ht="24">
      <c r="C694" s="20">
        <v>689</v>
      </c>
      <c r="D694" s="127" t="s">
        <v>2252</v>
      </c>
      <c r="E694" s="128" t="s">
        <v>2250</v>
      </c>
      <c r="F694" s="127" t="s">
        <v>2253</v>
      </c>
      <c r="K694" s="142"/>
    </row>
    <row r="695" spans="3:11" ht="25.5">
      <c r="C695" s="20">
        <v>690</v>
      </c>
      <c r="D695" s="125" t="s">
        <v>2254</v>
      </c>
      <c r="E695" s="126" t="s">
        <v>2255</v>
      </c>
      <c r="F695" s="125" t="s">
        <v>2256</v>
      </c>
      <c r="K695" s="142"/>
    </row>
    <row r="696" spans="3:11" ht="36">
      <c r="C696" s="20">
        <v>691</v>
      </c>
      <c r="D696" s="127" t="s">
        <v>2257</v>
      </c>
      <c r="E696" s="128" t="s">
        <v>2258</v>
      </c>
      <c r="F696" s="127" t="s">
        <v>2259</v>
      </c>
      <c r="K696" s="142"/>
    </row>
    <row r="697" spans="3:11">
      <c r="C697" s="20">
        <v>692</v>
      </c>
      <c r="D697" s="125" t="s">
        <v>2260</v>
      </c>
      <c r="E697" s="126" t="s">
        <v>2261</v>
      </c>
      <c r="F697" s="125" t="s">
        <v>2262</v>
      </c>
      <c r="K697" s="142"/>
    </row>
    <row r="698" spans="3:11" ht="48">
      <c r="C698" s="20">
        <v>693</v>
      </c>
      <c r="D698" s="127" t="s">
        <v>2299</v>
      </c>
      <c r="E698" s="128" t="s">
        <v>2264</v>
      </c>
      <c r="F698" s="127" t="s">
        <v>2265</v>
      </c>
      <c r="K698" s="142"/>
    </row>
    <row r="699" spans="3:11" ht="25.5">
      <c r="C699" s="20">
        <v>694</v>
      </c>
      <c r="D699" s="125" t="s">
        <v>2266</v>
      </c>
      <c r="E699" s="126" t="s">
        <v>2267</v>
      </c>
      <c r="F699" s="125" t="s">
        <v>2227</v>
      </c>
      <c r="K699" s="142"/>
    </row>
    <row r="700" spans="3:11" ht="36">
      <c r="C700" s="20">
        <v>695</v>
      </c>
      <c r="D700" s="127" t="s">
        <v>2268</v>
      </c>
      <c r="E700" s="128" t="s">
        <v>2269</v>
      </c>
      <c r="F700" s="127" t="s">
        <v>2270</v>
      </c>
      <c r="K700" s="142"/>
    </row>
    <row r="701" spans="3:11">
      <c r="C701" s="20">
        <v>696</v>
      </c>
      <c r="D701" s="146"/>
      <c r="E701" s="64"/>
      <c r="F701" s="146"/>
      <c r="K701" s="142"/>
    </row>
    <row r="702" spans="3:11" ht="25.5">
      <c r="C702" s="20">
        <v>697</v>
      </c>
      <c r="D702" s="129" t="s">
        <v>2300</v>
      </c>
      <c r="E702" s="129" t="s">
        <v>2301</v>
      </c>
      <c r="F702" s="240" t="s">
        <v>2302</v>
      </c>
      <c r="K702" s="142"/>
    </row>
    <row r="703" spans="3:11">
      <c r="C703" s="20">
        <v>698</v>
      </c>
      <c r="D703" s="146"/>
      <c r="E703" s="64"/>
      <c r="F703" s="146"/>
      <c r="K703" s="142"/>
    </row>
    <row r="704" spans="3:11">
      <c r="C704" s="20">
        <v>699</v>
      </c>
      <c r="D704" s="146"/>
      <c r="E704" s="64"/>
      <c r="F704" s="146"/>
      <c r="K704" s="142"/>
    </row>
    <row r="705" spans="3:11">
      <c r="C705" s="20">
        <v>700</v>
      </c>
      <c r="D705" s="118" t="s">
        <v>1323</v>
      </c>
      <c r="E705" s="119" t="s">
        <v>1324</v>
      </c>
      <c r="F705" s="125" t="s">
        <v>1325</v>
      </c>
      <c r="K705" s="142"/>
    </row>
    <row r="706" spans="3:11">
      <c r="C706" s="20">
        <v>701</v>
      </c>
      <c r="D706" s="120" t="s">
        <v>2303</v>
      </c>
      <c r="E706" s="121" t="s">
        <v>2304</v>
      </c>
      <c r="F706" s="120" t="s">
        <v>2305</v>
      </c>
      <c r="K706" s="142"/>
    </row>
    <row r="707" spans="3:11">
      <c r="C707" s="20">
        <v>702</v>
      </c>
      <c r="D707" s="86" t="s">
        <v>770</v>
      </c>
      <c r="E707" s="122" t="s">
        <v>2275</v>
      </c>
      <c r="F707" s="86" t="s">
        <v>2179</v>
      </c>
      <c r="K707" s="142"/>
    </row>
    <row r="708" spans="3:11" ht="24">
      <c r="C708" s="20">
        <v>703</v>
      </c>
      <c r="D708" s="123" t="s">
        <v>2306</v>
      </c>
      <c r="E708" s="124" t="s">
        <v>2307</v>
      </c>
      <c r="F708" s="123" t="s">
        <v>2308</v>
      </c>
      <c r="K708" s="142"/>
    </row>
    <row r="709" spans="3:11">
      <c r="C709" s="20">
        <v>704</v>
      </c>
      <c r="D709" s="125" t="s">
        <v>2309</v>
      </c>
      <c r="E709" s="126" t="s">
        <v>2310</v>
      </c>
      <c r="F709" s="125" t="s">
        <v>2311</v>
      </c>
      <c r="K709" s="142"/>
    </row>
    <row r="710" spans="3:11" ht="60">
      <c r="C710" s="20">
        <v>705</v>
      </c>
      <c r="D710" s="127" t="s">
        <v>2312</v>
      </c>
      <c r="E710" s="128" t="s">
        <v>2313</v>
      </c>
      <c r="F710" s="127" t="s">
        <v>2314</v>
      </c>
      <c r="K710" s="142"/>
    </row>
    <row r="711" spans="3:11">
      <c r="C711" s="20">
        <v>706</v>
      </c>
      <c r="D711" s="125" t="s">
        <v>2315</v>
      </c>
      <c r="E711" s="126" t="s">
        <v>2316</v>
      </c>
      <c r="F711" s="125" t="s">
        <v>2317</v>
      </c>
      <c r="K711" s="142"/>
    </row>
    <row r="712" spans="3:11" ht="84">
      <c r="C712" s="20">
        <v>707</v>
      </c>
      <c r="D712" s="127" t="s">
        <v>2318</v>
      </c>
      <c r="E712" s="127" t="s">
        <v>2319</v>
      </c>
      <c r="F712" s="127" t="s">
        <v>2320</v>
      </c>
      <c r="K712" s="142"/>
    </row>
    <row r="713" spans="3:11">
      <c r="C713" s="20">
        <v>708</v>
      </c>
      <c r="D713" s="125" t="s">
        <v>2243</v>
      </c>
      <c r="E713" s="126" t="s">
        <v>2244</v>
      </c>
      <c r="F713" s="125" t="s">
        <v>2245</v>
      </c>
      <c r="K713" s="142"/>
    </row>
    <row r="714" spans="3:11" ht="36">
      <c r="C714" s="20">
        <v>709</v>
      </c>
      <c r="D714" s="127" t="s">
        <v>2321</v>
      </c>
      <c r="E714" s="128" t="s">
        <v>2322</v>
      </c>
      <c r="F714" s="127" t="s">
        <v>2323</v>
      </c>
      <c r="K714" s="142"/>
    </row>
    <row r="715" spans="3:11">
      <c r="C715" s="20">
        <v>710</v>
      </c>
      <c r="D715" s="125" t="s">
        <v>2249</v>
      </c>
      <c r="E715" s="126" t="s">
        <v>2250</v>
      </c>
      <c r="F715" s="125" t="s">
        <v>2251</v>
      </c>
      <c r="K715" s="142"/>
    </row>
    <row r="716" spans="3:11" ht="24">
      <c r="C716" s="20">
        <v>711</v>
      </c>
      <c r="D716" s="127" t="s">
        <v>2252</v>
      </c>
      <c r="E716" s="127" t="s">
        <v>2250</v>
      </c>
      <c r="F716" s="127" t="s">
        <v>2253</v>
      </c>
      <c r="K716" s="142"/>
    </row>
    <row r="717" spans="3:11" ht="25.5">
      <c r="C717" s="20">
        <v>712</v>
      </c>
      <c r="D717" s="125" t="s">
        <v>2254</v>
      </c>
      <c r="E717" s="126" t="s">
        <v>2255</v>
      </c>
      <c r="F717" s="125" t="s">
        <v>2256</v>
      </c>
      <c r="K717" s="142"/>
    </row>
    <row r="718" spans="3:11" ht="36">
      <c r="C718" s="20">
        <v>713</v>
      </c>
      <c r="D718" s="127" t="s">
        <v>2257</v>
      </c>
      <c r="E718" s="128" t="s">
        <v>2258</v>
      </c>
      <c r="F718" s="127" t="s">
        <v>2259</v>
      </c>
      <c r="K718" s="142"/>
    </row>
    <row r="719" spans="3:11">
      <c r="C719" s="20">
        <v>714</v>
      </c>
      <c r="D719" s="125" t="s">
        <v>2260</v>
      </c>
      <c r="E719" s="126" t="s">
        <v>2261</v>
      </c>
      <c r="F719" s="125" t="s">
        <v>2262</v>
      </c>
      <c r="K719" s="142"/>
    </row>
    <row r="720" spans="3:11" ht="60">
      <c r="C720" s="20">
        <v>715</v>
      </c>
      <c r="D720" s="127" t="s">
        <v>2324</v>
      </c>
      <c r="E720" s="128" t="s">
        <v>2325</v>
      </c>
      <c r="F720" s="127" t="s">
        <v>2265</v>
      </c>
      <c r="K720" s="142"/>
    </row>
    <row r="721" spans="3:11" ht="25.5">
      <c r="C721" s="20">
        <v>716</v>
      </c>
      <c r="D721" s="125" t="s">
        <v>2266</v>
      </c>
      <c r="E721" s="126" t="s">
        <v>2267</v>
      </c>
      <c r="F721" s="125" t="s">
        <v>2227</v>
      </c>
      <c r="K721" s="142"/>
    </row>
    <row r="722" spans="3:11" ht="37.9" customHeight="1">
      <c r="C722" s="20">
        <v>717</v>
      </c>
      <c r="D722" s="127" t="s">
        <v>2326</v>
      </c>
      <c r="E722" s="128" t="s">
        <v>2327</v>
      </c>
      <c r="F722" s="127" t="s">
        <v>2270</v>
      </c>
      <c r="K722" s="142"/>
    </row>
    <row r="723" spans="3:11">
      <c r="C723" s="20">
        <v>718</v>
      </c>
      <c r="D723" s="146" t="s">
        <v>2328</v>
      </c>
      <c r="E723" s="64" t="s">
        <v>2329</v>
      </c>
      <c r="F723" s="146" t="s">
        <v>2330</v>
      </c>
      <c r="K723" s="142"/>
    </row>
    <row r="724" spans="3:11" ht="51">
      <c r="C724" s="20">
        <v>719</v>
      </c>
      <c r="D724" s="146" t="s">
        <v>2331</v>
      </c>
      <c r="E724" s="64" t="s">
        <v>2332</v>
      </c>
      <c r="F724" s="146" t="s">
        <v>2333</v>
      </c>
      <c r="K724" s="142"/>
    </row>
    <row r="725" spans="3:11" ht="25.5">
      <c r="C725" s="20">
        <v>720</v>
      </c>
      <c r="D725" s="115" t="s">
        <v>2334</v>
      </c>
      <c r="E725" s="115" t="s">
        <v>2335</v>
      </c>
      <c r="F725" s="240" t="s">
        <v>2336</v>
      </c>
      <c r="K725" s="142"/>
    </row>
    <row r="726" spans="3:11">
      <c r="C726" s="20">
        <v>721</v>
      </c>
      <c r="D726" s="146"/>
      <c r="E726" s="64"/>
      <c r="F726" s="146"/>
      <c r="K726" s="142"/>
    </row>
    <row r="727" spans="3:11">
      <c r="C727" s="20">
        <v>722</v>
      </c>
      <c r="D727" s="146"/>
      <c r="E727" s="64"/>
      <c r="F727" s="146"/>
      <c r="K727" s="142"/>
    </row>
    <row r="728" spans="3:11">
      <c r="C728" s="20">
        <v>723</v>
      </c>
      <c r="D728" s="118" t="s">
        <v>1323</v>
      </c>
      <c r="E728" s="119" t="s">
        <v>1324</v>
      </c>
      <c r="F728" s="125" t="s">
        <v>1325</v>
      </c>
      <c r="K728" s="142"/>
    </row>
    <row r="729" spans="3:11">
      <c r="C729" s="20">
        <v>724</v>
      </c>
      <c r="D729" s="120" t="s">
        <v>2303</v>
      </c>
      <c r="E729" s="121" t="s">
        <v>2304</v>
      </c>
      <c r="F729" s="120" t="s">
        <v>2305</v>
      </c>
      <c r="K729" s="142"/>
    </row>
    <row r="730" spans="3:11">
      <c r="C730" s="20">
        <v>725</v>
      </c>
      <c r="D730" s="125" t="s">
        <v>770</v>
      </c>
      <c r="E730" s="122" t="s">
        <v>2275</v>
      </c>
      <c r="F730" s="86" t="s">
        <v>2179</v>
      </c>
      <c r="K730" s="142"/>
    </row>
    <row r="731" spans="3:11" ht="24">
      <c r="C731" s="20">
        <v>726</v>
      </c>
      <c r="D731" s="127" t="s">
        <v>2306</v>
      </c>
      <c r="E731" s="124" t="s">
        <v>2307</v>
      </c>
      <c r="F731" s="123" t="s">
        <v>2308</v>
      </c>
      <c r="K731" s="142"/>
    </row>
    <row r="732" spans="3:11">
      <c r="C732" s="20">
        <v>727</v>
      </c>
      <c r="D732" s="125" t="s">
        <v>2309</v>
      </c>
      <c r="E732" s="126" t="s">
        <v>2310</v>
      </c>
      <c r="F732" s="125" t="s">
        <v>2311</v>
      </c>
      <c r="K732" s="142"/>
    </row>
    <row r="733" spans="3:11" ht="48">
      <c r="C733" s="20">
        <v>728</v>
      </c>
      <c r="D733" s="127" t="s">
        <v>2337</v>
      </c>
      <c r="E733" s="128" t="s">
        <v>2338</v>
      </c>
      <c r="F733" s="127" t="s">
        <v>2339</v>
      </c>
      <c r="K733" s="142"/>
    </row>
    <row r="734" spans="3:11">
      <c r="C734" s="20">
        <v>729</v>
      </c>
      <c r="D734" s="125" t="s">
        <v>2315</v>
      </c>
      <c r="E734" s="126" t="s">
        <v>2316</v>
      </c>
      <c r="F734" s="125" t="s">
        <v>2317</v>
      </c>
      <c r="K734" s="142"/>
    </row>
    <row r="735" spans="3:11" ht="72">
      <c r="C735" s="20">
        <v>730</v>
      </c>
      <c r="D735" s="127" t="s">
        <v>2340</v>
      </c>
      <c r="E735" s="128" t="s">
        <v>2341</v>
      </c>
      <c r="F735" s="127" t="s">
        <v>2342</v>
      </c>
      <c r="K735" s="142"/>
    </row>
    <row r="736" spans="3:11">
      <c r="C736" s="20">
        <v>731</v>
      </c>
      <c r="D736" s="125" t="s">
        <v>2243</v>
      </c>
      <c r="E736" s="126" t="s">
        <v>2244</v>
      </c>
      <c r="F736" s="125" t="s">
        <v>2245</v>
      </c>
      <c r="K736" s="142"/>
    </row>
    <row r="737" spans="3:11" ht="36">
      <c r="C737" s="20">
        <v>732</v>
      </c>
      <c r="D737" s="127" t="s">
        <v>2321</v>
      </c>
      <c r="E737" s="128" t="s">
        <v>2322</v>
      </c>
      <c r="F737" s="127" t="s">
        <v>2323</v>
      </c>
      <c r="K737" s="142"/>
    </row>
    <row r="738" spans="3:11">
      <c r="C738" s="20">
        <v>733</v>
      </c>
      <c r="D738" s="125" t="s">
        <v>2249</v>
      </c>
      <c r="E738" s="126" t="s">
        <v>2250</v>
      </c>
      <c r="F738" s="125" t="s">
        <v>2251</v>
      </c>
      <c r="K738" s="142"/>
    </row>
    <row r="739" spans="3:11" ht="24">
      <c r="C739" s="20">
        <v>734</v>
      </c>
      <c r="D739" s="127" t="s">
        <v>2252</v>
      </c>
      <c r="E739" s="127" t="s">
        <v>2250</v>
      </c>
      <c r="F739" s="127" t="s">
        <v>2253</v>
      </c>
      <c r="K739" s="142"/>
    </row>
    <row r="740" spans="3:11" ht="25.5">
      <c r="C740" s="20">
        <v>735</v>
      </c>
      <c r="D740" s="125" t="s">
        <v>2254</v>
      </c>
      <c r="E740" s="126" t="s">
        <v>2255</v>
      </c>
      <c r="F740" s="125" t="s">
        <v>2256</v>
      </c>
      <c r="K740" s="142"/>
    </row>
    <row r="741" spans="3:11" ht="36">
      <c r="C741" s="20">
        <v>736</v>
      </c>
      <c r="D741" s="127" t="s">
        <v>2257</v>
      </c>
      <c r="E741" s="128" t="s">
        <v>2343</v>
      </c>
      <c r="F741" s="127" t="s">
        <v>2259</v>
      </c>
      <c r="K741" s="142"/>
    </row>
    <row r="742" spans="3:11">
      <c r="C742" s="20">
        <v>737</v>
      </c>
      <c r="D742" s="125" t="s">
        <v>2260</v>
      </c>
      <c r="E742" s="126" t="s">
        <v>2261</v>
      </c>
      <c r="F742" s="125" t="s">
        <v>2262</v>
      </c>
      <c r="K742" s="142"/>
    </row>
    <row r="743" spans="3:11" ht="60">
      <c r="C743" s="20">
        <v>738</v>
      </c>
      <c r="D743" s="127" t="s">
        <v>2324</v>
      </c>
      <c r="E743" s="128" t="s">
        <v>2325</v>
      </c>
      <c r="F743" s="127" t="s">
        <v>2265</v>
      </c>
      <c r="K743" s="142"/>
    </row>
    <row r="744" spans="3:11" ht="25.5">
      <c r="C744" s="20">
        <v>739</v>
      </c>
      <c r="D744" s="125" t="s">
        <v>2266</v>
      </c>
      <c r="E744" s="126" t="s">
        <v>2267</v>
      </c>
      <c r="F744" s="125" t="s">
        <v>2227</v>
      </c>
      <c r="K744" s="142"/>
    </row>
    <row r="745" spans="3:11" ht="48">
      <c r="C745" s="20">
        <v>740</v>
      </c>
      <c r="D745" s="127" t="s">
        <v>2326</v>
      </c>
      <c r="E745" s="128" t="s">
        <v>2327</v>
      </c>
      <c r="F745" s="127" t="s">
        <v>2270</v>
      </c>
      <c r="K745" s="142"/>
    </row>
    <row r="746" spans="3:11" ht="13.5" thickBot="1">
      <c r="C746" s="20">
        <v>741</v>
      </c>
      <c r="D746" s="143"/>
      <c r="E746" s="144"/>
      <c r="F746" s="143"/>
      <c r="H746" s="144"/>
      <c r="I746" s="144"/>
      <c r="J746" s="144"/>
      <c r="K746" s="145"/>
    </row>
    <row r="747" spans="3:11" ht="22.5">
      <c r="C747" s="20">
        <v>742</v>
      </c>
      <c r="D747" s="113" t="s">
        <v>2344</v>
      </c>
      <c r="E747" s="114" t="s">
        <v>2344</v>
      </c>
      <c r="F747" s="113" t="s">
        <v>2345</v>
      </c>
      <c r="K747" s="142"/>
    </row>
    <row r="748" spans="3:11">
      <c r="C748" s="20">
        <v>743</v>
      </c>
      <c r="D748" s="147"/>
      <c r="E748" s="59"/>
      <c r="K748" s="142"/>
    </row>
    <row r="749" spans="3:11">
      <c r="C749" s="20">
        <v>744</v>
      </c>
      <c r="D749" s="369" t="s">
        <v>2145</v>
      </c>
      <c r="E749" s="370" t="s">
        <v>2346</v>
      </c>
      <c r="F749" s="371" t="s">
        <v>2147</v>
      </c>
      <c r="K749" s="142"/>
    </row>
    <row r="750" spans="3:11">
      <c r="C750" s="20">
        <v>745</v>
      </c>
      <c r="D750" s="130" t="s">
        <v>2148</v>
      </c>
      <c r="E750" s="131" t="s">
        <v>2347</v>
      </c>
      <c r="F750" s="241" t="s">
        <v>2150</v>
      </c>
      <c r="K750" s="142"/>
    </row>
    <row r="751" spans="3:11">
      <c r="C751" s="20">
        <v>746</v>
      </c>
      <c r="D751" s="363" t="s">
        <v>2151</v>
      </c>
      <c r="E751" s="364" t="s">
        <v>2152</v>
      </c>
      <c r="F751" s="365" t="s">
        <v>2153</v>
      </c>
      <c r="K751" s="142"/>
    </row>
    <row r="752" spans="3:11">
      <c r="C752" s="20">
        <v>747</v>
      </c>
      <c r="D752" s="147"/>
      <c r="E752" s="64"/>
      <c r="K752" s="142"/>
    </row>
    <row r="753" spans="3:11">
      <c r="C753" s="20">
        <v>748</v>
      </c>
      <c r="D753" s="40" t="s">
        <v>1520</v>
      </c>
      <c r="E753" s="16" t="s">
        <v>1521</v>
      </c>
      <c r="F753" s="64" t="s">
        <v>1522</v>
      </c>
      <c r="K753" s="142"/>
    </row>
    <row r="754" spans="3:11" ht="51">
      <c r="C754" s="20">
        <v>749</v>
      </c>
      <c r="D754" s="168" t="s">
        <v>2348</v>
      </c>
      <c r="E754" s="185" t="s">
        <v>2349</v>
      </c>
      <c r="F754" s="185" t="s">
        <v>2350</v>
      </c>
      <c r="K754" s="142"/>
    </row>
    <row r="755" spans="3:11">
      <c r="C755" s="20">
        <v>750</v>
      </c>
      <c r="D755" s="168" t="s">
        <v>154</v>
      </c>
      <c r="E755" s="169" t="s">
        <v>154</v>
      </c>
      <c r="F755" s="185" t="s">
        <v>154</v>
      </c>
      <c r="K755" s="142"/>
    </row>
    <row r="756" spans="3:11">
      <c r="C756" s="20">
        <v>751</v>
      </c>
      <c r="D756" s="146"/>
      <c r="E756" s="64"/>
      <c r="K756" s="142"/>
    </row>
    <row r="757" spans="3:11">
      <c r="C757" s="20">
        <v>752</v>
      </c>
      <c r="D757" s="86" t="s">
        <v>2351</v>
      </c>
      <c r="E757" s="87" t="s">
        <v>2351</v>
      </c>
      <c r="F757" s="86" t="s">
        <v>2351</v>
      </c>
      <c r="K757" s="142"/>
    </row>
    <row r="758" spans="3:11">
      <c r="C758" s="20">
        <v>753</v>
      </c>
      <c r="D758" s="123" t="s">
        <v>2352</v>
      </c>
      <c r="E758" s="132" t="s">
        <v>2353</v>
      </c>
      <c r="F758" s="123" t="s">
        <v>2354</v>
      </c>
      <c r="K758" s="142"/>
    </row>
    <row r="759" spans="3:11">
      <c r="C759" s="20">
        <v>754</v>
      </c>
      <c r="D759" s="86" t="s">
        <v>2355</v>
      </c>
      <c r="E759" s="86" t="s">
        <v>2356</v>
      </c>
      <c r="F759" s="86" t="s">
        <v>2357</v>
      </c>
      <c r="K759" s="142"/>
    </row>
    <row r="760" spans="3:11">
      <c r="C760" s="20">
        <v>755</v>
      </c>
      <c r="D760" s="123" t="s">
        <v>2358</v>
      </c>
      <c r="E760" s="123" t="s">
        <v>2359</v>
      </c>
      <c r="F760" s="123" t="s">
        <v>2360</v>
      </c>
      <c r="K760" s="142"/>
    </row>
    <row r="761" spans="3:11">
      <c r="C761" s="20">
        <v>756</v>
      </c>
      <c r="D761" s="86" t="s">
        <v>2361</v>
      </c>
      <c r="E761" s="86" t="s">
        <v>2362</v>
      </c>
      <c r="F761" s="86" t="s">
        <v>2363</v>
      </c>
      <c r="K761" s="142"/>
    </row>
    <row r="762" spans="3:11" ht="36">
      <c r="C762" s="20">
        <v>757</v>
      </c>
      <c r="D762" s="123" t="s">
        <v>2364</v>
      </c>
      <c r="E762" s="123" t="s">
        <v>2365</v>
      </c>
      <c r="F762" s="123" t="s">
        <v>2366</v>
      </c>
      <c r="K762" s="142"/>
    </row>
    <row r="763" spans="3:11">
      <c r="C763" s="20">
        <v>758</v>
      </c>
      <c r="D763" s="86" t="s">
        <v>2367</v>
      </c>
      <c r="E763" s="86" t="s">
        <v>2368</v>
      </c>
      <c r="F763" s="86" t="s">
        <v>2369</v>
      </c>
      <c r="K763" s="142"/>
    </row>
    <row r="764" spans="3:11" ht="36">
      <c r="C764" s="20">
        <v>759</v>
      </c>
      <c r="D764" s="123" t="s">
        <v>2370</v>
      </c>
      <c r="E764" s="123" t="s">
        <v>2371</v>
      </c>
      <c r="F764" s="123" t="s">
        <v>2372</v>
      </c>
      <c r="K764" s="142"/>
    </row>
    <row r="765" spans="3:11">
      <c r="C765" s="20">
        <v>760</v>
      </c>
      <c r="D765" s="86" t="s">
        <v>2373</v>
      </c>
      <c r="E765" s="86" t="s">
        <v>2374</v>
      </c>
      <c r="F765" s="86" t="s">
        <v>2375</v>
      </c>
      <c r="K765" s="142"/>
    </row>
    <row r="766" spans="3:11">
      <c r="C766" s="20">
        <v>761</v>
      </c>
      <c r="D766" s="123" t="s">
        <v>2376</v>
      </c>
      <c r="E766" s="123" t="s">
        <v>2377</v>
      </c>
      <c r="F766" s="123" t="s">
        <v>2378</v>
      </c>
      <c r="K766" s="142"/>
    </row>
    <row r="767" spans="3:11">
      <c r="C767" s="20">
        <v>762</v>
      </c>
      <c r="D767" s="86" t="s">
        <v>2379</v>
      </c>
      <c r="E767" s="86" t="s">
        <v>2380</v>
      </c>
      <c r="F767" s="86" t="s">
        <v>2381</v>
      </c>
      <c r="K767" s="142"/>
    </row>
    <row r="768" spans="3:11" ht="36">
      <c r="C768" s="20">
        <v>763</v>
      </c>
      <c r="D768" s="123" t="s">
        <v>2382</v>
      </c>
      <c r="E768" s="123" t="s">
        <v>2383</v>
      </c>
      <c r="F768" s="123" t="s">
        <v>2384</v>
      </c>
      <c r="K768" s="142"/>
    </row>
    <row r="769" spans="3:11">
      <c r="C769" s="20">
        <v>764</v>
      </c>
      <c r="D769" s="86" t="s">
        <v>2385</v>
      </c>
      <c r="E769" s="86" t="s">
        <v>2386</v>
      </c>
      <c r="F769" s="86" t="s">
        <v>2387</v>
      </c>
      <c r="K769" s="142"/>
    </row>
    <row r="770" spans="3:11" ht="36">
      <c r="C770" s="20">
        <v>765</v>
      </c>
      <c r="D770" s="123" t="s">
        <v>2388</v>
      </c>
      <c r="E770" s="123" t="s">
        <v>2389</v>
      </c>
      <c r="F770" s="123" t="s">
        <v>2390</v>
      </c>
      <c r="K770" s="142"/>
    </row>
    <row r="771" spans="3:11">
      <c r="C771" s="20">
        <v>766</v>
      </c>
      <c r="D771" s="86" t="s">
        <v>2391</v>
      </c>
      <c r="E771" s="86" t="s">
        <v>2392</v>
      </c>
      <c r="F771" s="86" t="s">
        <v>2393</v>
      </c>
      <c r="K771" s="142"/>
    </row>
    <row r="772" spans="3:11">
      <c r="C772" s="20">
        <v>767</v>
      </c>
      <c r="D772" s="127" t="s">
        <v>2394</v>
      </c>
      <c r="E772" s="127" t="s">
        <v>2395</v>
      </c>
      <c r="F772" s="127" t="s">
        <v>2396</v>
      </c>
      <c r="K772" s="142"/>
    </row>
    <row r="773" spans="3:11">
      <c r="C773" s="20">
        <v>768</v>
      </c>
      <c r="D773" s="86" t="s">
        <v>2397</v>
      </c>
      <c r="E773" s="86" t="s">
        <v>2398</v>
      </c>
      <c r="F773" s="86" t="s">
        <v>2399</v>
      </c>
      <c r="K773" s="142"/>
    </row>
    <row r="774" spans="3:11">
      <c r="C774" s="20">
        <v>769</v>
      </c>
      <c r="D774" s="123" t="s">
        <v>2400</v>
      </c>
      <c r="E774" s="123" t="s">
        <v>2398</v>
      </c>
      <c r="F774" s="123" t="s">
        <v>2401</v>
      </c>
      <c r="K774" s="142"/>
    </row>
    <row r="775" spans="3:11">
      <c r="C775" s="20">
        <v>770</v>
      </c>
      <c r="D775" s="86" t="s">
        <v>2402</v>
      </c>
      <c r="E775" s="86" t="s">
        <v>2403</v>
      </c>
      <c r="F775" s="86" t="s">
        <v>2404</v>
      </c>
      <c r="K775" s="142"/>
    </row>
    <row r="776" spans="3:11" ht="36">
      <c r="C776" s="20">
        <v>771</v>
      </c>
      <c r="D776" s="127" t="s">
        <v>2405</v>
      </c>
      <c r="E776" s="127" t="s">
        <v>2406</v>
      </c>
      <c r="F776" s="127" t="s">
        <v>2407</v>
      </c>
      <c r="K776" s="142"/>
    </row>
    <row r="777" spans="3:11">
      <c r="C777" s="20">
        <v>772</v>
      </c>
      <c r="D777" s="133" t="s">
        <v>2408</v>
      </c>
      <c r="E777" s="133" t="s">
        <v>2409</v>
      </c>
      <c r="F777" s="133" t="s">
        <v>2410</v>
      </c>
      <c r="K777" s="142"/>
    </row>
    <row r="778" spans="3:11" ht="60">
      <c r="C778" s="20">
        <v>773</v>
      </c>
      <c r="D778" s="127" t="s">
        <v>2411</v>
      </c>
      <c r="E778" s="127" t="s">
        <v>2412</v>
      </c>
      <c r="F778" s="127" t="s">
        <v>2413</v>
      </c>
      <c r="K778" s="142"/>
    </row>
    <row r="779" spans="3:11">
      <c r="C779" s="20">
        <v>774</v>
      </c>
      <c r="D779" s="50" t="s">
        <v>2414</v>
      </c>
      <c r="E779" s="50" t="s">
        <v>2415</v>
      </c>
      <c r="F779" s="50" t="s">
        <v>2416</v>
      </c>
      <c r="K779" s="142"/>
    </row>
    <row r="780" spans="3:11" ht="24">
      <c r="C780" s="20">
        <v>775</v>
      </c>
      <c r="D780" s="127" t="s">
        <v>2417</v>
      </c>
      <c r="E780" s="127" t="s">
        <v>2418</v>
      </c>
      <c r="F780" s="127" t="s">
        <v>2419</v>
      </c>
      <c r="K780" s="142"/>
    </row>
    <row r="781" spans="3:11">
      <c r="C781" s="20">
        <v>776</v>
      </c>
      <c r="D781" s="86" t="s">
        <v>2420</v>
      </c>
      <c r="E781" s="86" t="s">
        <v>2421</v>
      </c>
      <c r="F781" s="86" t="s">
        <v>2422</v>
      </c>
      <c r="K781" s="142"/>
    </row>
    <row r="782" spans="3:11" ht="36">
      <c r="C782" s="20">
        <v>777</v>
      </c>
      <c r="D782" s="127" t="s">
        <v>2423</v>
      </c>
      <c r="E782" s="127" t="s">
        <v>2424</v>
      </c>
      <c r="F782" s="127" t="s">
        <v>2425</v>
      </c>
      <c r="K782" s="142"/>
    </row>
    <row r="783" spans="3:11">
      <c r="C783" s="20">
        <v>778</v>
      </c>
      <c r="D783" s="125" t="s">
        <v>2426</v>
      </c>
      <c r="E783" s="125" t="s">
        <v>2427</v>
      </c>
      <c r="F783" s="125" t="s">
        <v>2428</v>
      </c>
      <c r="K783" s="142"/>
    </row>
    <row r="784" spans="3:11">
      <c r="C784" s="20">
        <v>779</v>
      </c>
      <c r="D784" s="127" t="s">
        <v>2429</v>
      </c>
      <c r="E784" s="127" t="s">
        <v>2430</v>
      </c>
      <c r="F784" s="127" t="s">
        <v>2431</v>
      </c>
      <c r="K784" s="142"/>
    </row>
    <row r="785" spans="3:11">
      <c r="C785" s="20">
        <v>780</v>
      </c>
      <c r="D785" s="125" t="s">
        <v>2432</v>
      </c>
      <c r="E785" s="126" t="s">
        <v>2433</v>
      </c>
      <c r="F785" s="125" t="s">
        <v>2434</v>
      </c>
      <c r="K785" s="142"/>
    </row>
    <row r="786" spans="3:11">
      <c r="C786" s="20">
        <v>781</v>
      </c>
      <c r="D786" s="372" t="s">
        <v>2435</v>
      </c>
      <c r="E786" s="128" t="s">
        <v>2433</v>
      </c>
      <c r="F786" s="127" t="s">
        <v>2434</v>
      </c>
      <c r="K786" s="142"/>
    </row>
    <row r="787" spans="3:11">
      <c r="C787" s="20">
        <v>782</v>
      </c>
      <c r="D787" s="125" t="s">
        <v>2309</v>
      </c>
      <c r="E787" s="126" t="s">
        <v>2310</v>
      </c>
      <c r="F787" s="125" t="s">
        <v>2436</v>
      </c>
      <c r="K787" s="142"/>
    </row>
    <row r="788" spans="3:11" ht="36">
      <c r="C788" s="20">
        <v>783</v>
      </c>
      <c r="D788" s="127" t="s">
        <v>2437</v>
      </c>
      <c r="E788" s="128" t="s">
        <v>2438</v>
      </c>
      <c r="F788" s="127" t="s">
        <v>2439</v>
      </c>
      <c r="K788" s="142"/>
    </row>
    <row r="789" spans="3:11">
      <c r="C789" s="20">
        <v>784</v>
      </c>
      <c r="D789" s="125" t="s">
        <v>2315</v>
      </c>
      <c r="E789" s="126" t="s">
        <v>2316</v>
      </c>
      <c r="F789" s="125" t="s">
        <v>2440</v>
      </c>
      <c r="K789" s="142"/>
    </row>
    <row r="790" spans="3:11" ht="60">
      <c r="C790" s="20">
        <v>785</v>
      </c>
      <c r="D790" s="127" t="s">
        <v>2441</v>
      </c>
      <c r="E790" s="128" t="s">
        <v>2442</v>
      </c>
      <c r="F790" s="127" t="s">
        <v>2443</v>
      </c>
      <c r="K790" s="142"/>
    </row>
    <row r="791" spans="3:11">
      <c r="C791" s="20">
        <v>786</v>
      </c>
      <c r="D791" s="125" t="s">
        <v>2444</v>
      </c>
      <c r="E791" s="126" t="s">
        <v>2445</v>
      </c>
      <c r="F791" s="125" t="s">
        <v>2446</v>
      </c>
      <c r="K791" s="142"/>
    </row>
    <row r="792" spans="3:11">
      <c r="C792" s="20">
        <v>787</v>
      </c>
      <c r="D792" s="127" t="s">
        <v>2447</v>
      </c>
      <c r="E792" s="128" t="s">
        <v>2448</v>
      </c>
      <c r="F792" s="127" t="s">
        <v>2449</v>
      </c>
      <c r="K792" s="142"/>
    </row>
    <row r="793" spans="3:11">
      <c r="C793" s="20">
        <v>788</v>
      </c>
      <c r="D793" s="125" t="s">
        <v>2450</v>
      </c>
      <c r="E793" s="126" t="s">
        <v>2451</v>
      </c>
      <c r="F793" s="125" t="s">
        <v>2452</v>
      </c>
      <c r="K793" s="142"/>
    </row>
    <row r="794" spans="3:11">
      <c r="C794" s="20">
        <v>789</v>
      </c>
      <c r="D794" s="127" t="s">
        <v>2453</v>
      </c>
      <c r="E794" s="128" t="s">
        <v>2454</v>
      </c>
      <c r="F794" s="127" t="s">
        <v>2455</v>
      </c>
      <c r="K794" s="142"/>
    </row>
    <row r="795" spans="3:11">
      <c r="C795" s="20">
        <v>790</v>
      </c>
      <c r="D795" s="125" t="s">
        <v>2456</v>
      </c>
      <c r="E795" s="126" t="s">
        <v>2457</v>
      </c>
      <c r="F795" s="125" t="s">
        <v>2458</v>
      </c>
      <c r="K795" s="142"/>
    </row>
    <row r="796" spans="3:11">
      <c r="C796" s="20">
        <v>791</v>
      </c>
      <c r="D796" s="127" t="s">
        <v>2459</v>
      </c>
      <c r="E796" s="128" t="s">
        <v>2460</v>
      </c>
      <c r="F796" s="127" t="s">
        <v>2461</v>
      </c>
      <c r="K796" s="142"/>
    </row>
    <row r="797" spans="3:11">
      <c r="C797" s="20">
        <v>792</v>
      </c>
      <c r="D797" s="125" t="s">
        <v>2462</v>
      </c>
      <c r="E797" s="126" t="s">
        <v>2463</v>
      </c>
      <c r="F797" s="125" t="s">
        <v>2464</v>
      </c>
      <c r="K797" s="142"/>
    </row>
    <row r="798" spans="3:11">
      <c r="C798" s="20">
        <v>793</v>
      </c>
      <c r="D798" s="127" t="s">
        <v>2465</v>
      </c>
      <c r="E798" s="128" t="s">
        <v>2466</v>
      </c>
      <c r="F798" s="127" t="s">
        <v>2467</v>
      </c>
      <c r="K798" s="142"/>
    </row>
    <row r="799" spans="3:11">
      <c r="C799" s="20">
        <v>794</v>
      </c>
      <c r="D799" s="125" t="s">
        <v>2468</v>
      </c>
      <c r="E799" s="126" t="s">
        <v>2469</v>
      </c>
      <c r="F799" s="125" t="s">
        <v>2470</v>
      </c>
      <c r="K799" s="142"/>
    </row>
    <row r="800" spans="3:11" ht="24">
      <c r="C800" s="20">
        <v>795</v>
      </c>
      <c r="D800" s="127" t="s">
        <v>2471</v>
      </c>
      <c r="E800" s="128" t="s">
        <v>2472</v>
      </c>
      <c r="F800" s="127" t="s">
        <v>2473</v>
      </c>
      <c r="K800" s="142"/>
    </row>
    <row r="801" spans="3:11">
      <c r="C801" s="20">
        <v>796</v>
      </c>
      <c r="D801" s="125" t="s">
        <v>2474</v>
      </c>
      <c r="E801" s="126" t="s">
        <v>2475</v>
      </c>
      <c r="F801" s="125" t="s">
        <v>2476</v>
      </c>
      <c r="K801" s="142"/>
    </row>
    <row r="802" spans="3:11" ht="36">
      <c r="C802" s="20">
        <v>797</v>
      </c>
      <c r="D802" s="127" t="s">
        <v>2477</v>
      </c>
      <c r="E802" s="128" t="s">
        <v>2478</v>
      </c>
      <c r="F802" s="127" t="s">
        <v>2479</v>
      </c>
      <c r="K802" s="142"/>
    </row>
    <row r="803" spans="3:11">
      <c r="C803" s="20">
        <v>798</v>
      </c>
      <c r="D803" s="125" t="s">
        <v>2480</v>
      </c>
      <c r="E803" s="126" t="s">
        <v>2481</v>
      </c>
      <c r="F803" s="125" t="s">
        <v>2482</v>
      </c>
      <c r="K803" s="142"/>
    </row>
    <row r="804" spans="3:11" ht="48">
      <c r="C804" s="20">
        <v>799</v>
      </c>
      <c r="D804" s="127" t="s">
        <v>2483</v>
      </c>
      <c r="E804" s="128" t="s">
        <v>2484</v>
      </c>
      <c r="F804" s="127" t="s">
        <v>2485</v>
      </c>
      <c r="K804" s="142"/>
    </row>
    <row r="805" spans="3:11">
      <c r="C805" s="20">
        <v>800</v>
      </c>
      <c r="D805" s="125" t="s">
        <v>2486</v>
      </c>
      <c r="E805" s="126" t="s">
        <v>2487</v>
      </c>
      <c r="F805" s="125" t="s">
        <v>2488</v>
      </c>
      <c r="K805" s="142"/>
    </row>
    <row r="806" spans="3:11" ht="48">
      <c r="C806" s="20">
        <v>801</v>
      </c>
      <c r="D806" s="127" t="s">
        <v>2489</v>
      </c>
      <c r="E806" s="128" t="s">
        <v>2490</v>
      </c>
      <c r="F806" s="127" t="s">
        <v>2491</v>
      </c>
      <c r="K806" s="142"/>
    </row>
    <row r="807" spans="3:11">
      <c r="C807" s="20">
        <v>802</v>
      </c>
      <c r="D807" s="125" t="s">
        <v>2492</v>
      </c>
      <c r="E807" s="126" t="s">
        <v>2493</v>
      </c>
      <c r="F807" s="125" t="s">
        <v>2494</v>
      </c>
      <c r="K807" s="142"/>
    </row>
    <row r="808" spans="3:11" ht="48">
      <c r="C808" s="20">
        <v>803</v>
      </c>
      <c r="D808" s="127" t="s">
        <v>2495</v>
      </c>
      <c r="E808" s="128" t="s">
        <v>2496</v>
      </c>
      <c r="F808" s="127" t="s">
        <v>2497</v>
      </c>
      <c r="K808" s="142"/>
    </row>
    <row r="809" spans="3:11">
      <c r="C809" s="20">
        <v>804</v>
      </c>
      <c r="D809" s="125" t="s">
        <v>2498</v>
      </c>
      <c r="E809" s="126" t="s">
        <v>2499</v>
      </c>
      <c r="F809" s="125" t="s">
        <v>2500</v>
      </c>
      <c r="K809" s="142"/>
    </row>
    <row r="810" spans="3:11" ht="24">
      <c r="C810" s="20">
        <v>805</v>
      </c>
      <c r="D810" s="125" t="s">
        <v>2501</v>
      </c>
      <c r="E810" s="128" t="s">
        <v>2502</v>
      </c>
      <c r="F810" s="125" t="s">
        <v>2503</v>
      </c>
      <c r="K810" s="142"/>
    </row>
    <row r="811" spans="3:11" ht="13.5" thickBot="1">
      <c r="C811" s="20">
        <v>806</v>
      </c>
      <c r="D811" s="143"/>
      <c r="E811" s="144"/>
      <c r="F811" s="143"/>
      <c r="H811" s="144"/>
      <c r="I811" s="144"/>
      <c r="J811" s="144"/>
      <c r="K811" s="145"/>
    </row>
    <row r="812" spans="3:11" ht="22.5">
      <c r="C812" s="20">
        <v>807</v>
      </c>
      <c r="D812" s="113" t="s">
        <v>2504</v>
      </c>
      <c r="E812" s="114" t="s">
        <v>2504</v>
      </c>
      <c r="F812" s="113" t="s">
        <v>2504</v>
      </c>
      <c r="K812" s="142"/>
    </row>
    <row r="813" spans="3:11">
      <c r="C813" s="20">
        <v>808</v>
      </c>
      <c r="D813" s="147"/>
      <c r="E813" s="59"/>
      <c r="F813" s="219"/>
      <c r="K813" s="142"/>
    </row>
    <row r="814" spans="3:11">
      <c r="C814" s="20">
        <v>809</v>
      </c>
      <c r="D814" s="369" t="s">
        <v>2145</v>
      </c>
      <c r="E814" s="370" t="s">
        <v>2346</v>
      </c>
      <c r="F814" s="371" t="s">
        <v>2147</v>
      </c>
      <c r="K814" s="142"/>
    </row>
    <row r="815" spans="3:11">
      <c r="C815" s="20">
        <v>810</v>
      </c>
      <c r="D815" s="363" t="s">
        <v>2148</v>
      </c>
      <c r="E815" s="364" t="s">
        <v>2347</v>
      </c>
      <c r="F815" s="365" t="s">
        <v>2150</v>
      </c>
      <c r="K815" s="142"/>
    </row>
    <row r="816" spans="3:11">
      <c r="C816" s="20">
        <v>811</v>
      </c>
      <c r="D816" s="130" t="s">
        <v>2151</v>
      </c>
      <c r="E816" s="131" t="s">
        <v>2152</v>
      </c>
      <c r="F816" s="241" t="s">
        <v>2153</v>
      </c>
      <c r="K816" s="142"/>
    </row>
    <row r="817" spans="3:11">
      <c r="C817" s="20">
        <v>812</v>
      </c>
      <c r="D817" s="147"/>
      <c r="E817" s="64"/>
      <c r="K817" s="142"/>
    </row>
    <row r="818" spans="3:11">
      <c r="C818" s="20">
        <v>813</v>
      </c>
      <c r="D818" s="40" t="s">
        <v>1520</v>
      </c>
      <c r="E818" s="16" t="s">
        <v>1521</v>
      </c>
      <c r="F818" s="223" t="s">
        <v>1522</v>
      </c>
      <c r="K818" s="142"/>
    </row>
    <row r="819" spans="3:11" ht="25.5">
      <c r="C819" s="20">
        <v>814</v>
      </c>
      <c r="D819" s="313" t="s">
        <v>2505</v>
      </c>
      <c r="E819" s="169" t="s">
        <v>2506</v>
      </c>
      <c r="F819" s="313" t="s">
        <v>2507</v>
      </c>
      <c r="K819" s="142"/>
    </row>
    <row r="820" spans="3:11" ht="172.5" customHeight="1">
      <c r="C820" s="20">
        <v>815</v>
      </c>
      <c r="D820" s="51" t="s">
        <v>2508</v>
      </c>
      <c r="E820" s="180" t="s">
        <v>2509</v>
      </c>
      <c r="F820" s="51" t="s">
        <v>2510</v>
      </c>
      <c r="K820" s="142"/>
    </row>
    <row r="821" spans="3:11">
      <c r="C821" s="20">
        <v>816</v>
      </c>
      <c r="D821" s="168"/>
      <c r="E821" s="169"/>
      <c r="F821" s="146"/>
      <c r="K821" s="142"/>
    </row>
    <row r="822" spans="3:11" ht="25.5">
      <c r="C822" s="20">
        <v>817</v>
      </c>
      <c r="D822" s="168" t="s">
        <v>2511</v>
      </c>
      <c r="E822" s="169" t="s">
        <v>2512</v>
      </c>
      <c r="F822" s="168" t="s">
        <v>2513</v>
      </c>
      <c r="K822" s="142"/>
    </row>
    <row r="823" spans="3:11" ht="191.25">
      <c r="C823" s="20">
        <v>818</v>
      </c>
      <c r="D823" s="168" t="s">
        <v>2514</v>
      </c>
      <c r="E823" s="253" t="s">
        <v>2515</v>
      </c>
      <c r="F823" s="251" t="s">
        <v>2516</v>
      </c>
      <c r="K823" s="142"/>
    </row>
    <row r="824" spans="3:11" ht="76.5">
      <c r="C824" s="20">
        <v>819</v>
      </c>
      <c r="D824" s="168" t="s">
        <v>2517</v>
      </c>
      <c r="E824" s="169" t="s">
        <v>2518</v>
      </c>
      <c r="F824" s="168" t="s">
        <v>2519</v>
      </c>
      <c r="K824" s="142"/>
    </row>
    <row r="825" spans="3:11" ht="51">
      <c r="C825" s="20">
        <v>820</v>
      </c>
      <c r="D825" s="168" t="s">
        <v>2520</v>
      </c>
      <c r="E825" s="169" t="s">
        <v>2521</v>
      </c>
      <c r="F825" s="168" t="s">
        <v>2522</v>
      </c>
      <c r="K825" s="142"/>
    </row>
    <row r="826" spans="3:11" ht="191.25">
      <c r="C826" s="20">
        <v>821</v>
      </c>
      <c r="D826" s="372" t="s">
        <v>2523</v>
      </c>
      <c r="E826" s="169" t="s">
        <v>2524</v>
      </c>
      <c r="F826" s="168" t="s">
        <v>2525</v>
      </c>
      <c r="K826" s="142"/>
    </row>
    <row r="827" spans="3:11">
      <c r="C827" s="20">
        <v>822</v>
      </c>
      <c r="D827" s="168"/>
      <c r="E827" s="169"/>
      <c r="F827" s="168"/>
      <c r="K827" s="142"/>
    </row>
    <row r="828" spans="3:11" ht="25.5">
      <c r="C828" s="20">
        <v>823</v>
      </c>
      <c r="D828" s="147" t="s">
        <v>2526</v>
      </c>
      <c r="E828" s="147" t="s">
        <v>2527</v>
      </c>
      <c r="F828" s="219" t="s">
        <v>2528</v>
      </c>
      <c r="K828" s="142"/>
    </row>
    <row r="829" spans="3:11" ht="38.25">
      <c r="C829" s="20">
        <v>824</v>
      </c>
      <c r="D829" s="310" t="s">
        <v>2529</v>
      </c>
      <c r="E829" s="254" t="s">
        <v>2530</v>
      </c>
      <c r="F829" s="250" t="s">
        <v>2531</v>
      </c>
      <c r="K829" s="142"/>
    </row>
    <row r="830" spans="3:11" ht="51">
      <c r="C830" s="20">
        <v>825</v>
      </c>
      <c r="D830" s="8" t="s">
        <v>2532</v>
      </c>
      <c r="E830" s="254" t="s">
        <v>2533</v>
      </c>
      <c r="F830" s="250" t="s">
        <v>2534</v>
      </c>
      <c r="K830" s="142"/>
    </row>
    <row r="831" spans="3:11" ht="38.25">
      <c r="C831" s="20">
        <v>826</v>
      </c>
      <c r="D831" s="310" t="s">
        <v>2535</v>
      </c>
      <c r="E831" s="134" t="s">
        <v>2536</v>
      </c>
      <c r="F831" s="242" t="s">
        <v>2537</v>
      </c>
      <c r="K831" s="142"/>
    </row>
    <row r="832" spans="3:11" ht="51">
      <c r="C832" s="20">
        <v>827</v>
      </c>
      <c r="D832" s="8" t="s">
        <v>2538</v>
      </c>
      <c r="E832" s="134" t="s">
        <v>2539</v>
      </c>
      <c r="F832" s="242" t="s">
        <v>2540</v>
      </c>
      <c r="K832" s="142"/>
    </row>
    <row r="833" spans="3:11">
      <c r="C833" s="20">
        <v>828</v>
      </c>
      <c r="D833" s="147"/>
      <c r="E833" s="64"/>
      <c r="F833" s="219"/>
      <c r="K833" s="142"/>
    </row>
    <row r="834" spans="3:11" ht="51">
      <c r="C834" s="20">
        <v>829</v>
      </c>
      <c r="D834" s="135" t="s">
        <v>2541</v>
      </c>
      <c r="E834" s="134" t="s">
        <v>2542</v>
      </c>
      <c r="F834" s="242" t="s">
        <v>2543</v>
      </c>
      <c r="K834" s="142"/>
    </row>
    <row r="835" spans="3:11">
      <c r="C835" s="20">
        <v>830</v>
      </c>
      <c r="D835" s="146"/>
      <c r="E835" s="64"/>
      <c r="F835" s="146"/>
      <c r="K835" s="142"/>
    </row>
    <row r="836" spans="3:11">
      <c r="C836" s="20">
        <v>831</v>
      </c>
      <c r="D836" s="52" t="s">
        <v>2544</v>
      </c>
      <c r="E836" s="30" t="s">
        <v>2545</v>
      </c>
      <c r="F836" s="243" t="s">
        <v>2546</v>
      </c>
      <c r="K836" s="142"/>
    </row>
    <row r="837" spans="3:11">
      <c r="C837" s="20">
        <v>832</v>
      </c>
      <c r="D837" s="77" t="s">
        <v>2547</v>
      </c>
      <c r="E837" s="136" t="s">
        <v>2548</v>
      </c>
      <c r="F837" s="86" t="s">
        <v>2549</v>
      </c>
      <c r="K837" s="142"/>
    </row>
    <row r="838" spans="3:11">
      <c r="C838" s="20">
        <v>833</v>
      </c>
      <c r="D838" s="118" t="s">
        <v>2550</v>
      </c>
      <c r="E838" s="137" t="s">
        <v>2551</v>
      </c>
      <c r="F838" s="125" t="s">
        <v>2552</v>
      </c>
      <c r="K838" s="142"/>
    </row>
    <row r="839" spans="3:11">
      <c r="C839" s="20">
        <v>834</v>
      </c>
      <c r="D839" s="138" t="s">
        <v>2553</v>
      </c>
      <c r="E839" s="139" t="s">
        <v>2554</v>
      </c>
      <c r="F839" s="138" t="s">
        <v>2555</v>
      </c>
      <c r="K839" s="142"/>
    </row>
    <row r="840" spans="3:11">
      <c r="C840" s="20">
        <v>835</v>
      </c>
      <c r="D840" s="138" t="s">
        <v>2556</v>
      </c>
      <c r="E840" s="139" t="s">
        <v>2557</v>
      </c>
      <c r="F840" s="138" t="s">
        <v>2558</v>
      </c>
      <c r="K840" s="142"/>
    </row>
    <row r="841" spans="3:11">
      <c r="C841" s="20">
        <v>836</v>
      </c>
      <c r="D841" s="118" t="s">
        <v>2559</v>
      </c>
      <c r="E841" s="137" t="s">
        <v>2560</v>
      </c>
      <c r="F841" s="125" t="s">
        <v>2561</v>
      </c>
      <c r="K841" s="142"/>
    </row>
    <row r="842" spans="3:11">
      <c r="C842" s="20">
        <v>837</v>
      </c>
      <c r="D842" s="138" t="s">
        <v>2553</v>
      </c>
      <c r="E842" s="139" t="s">
        <v>2554</v>
      </c>
      <c r="F842" s="138" t="s">
        <v>2555</v>
      </c>
      <c r="K842" s="142"/>
    </row>
    <row r="843" spans="3:11">
      <c r="C843" s="20">
        <v>838</v>
      </c>
      <c r="D843" s="372" t="s">
        <v>2556</v>
      </c>
      <c r="E843" s="139" t="s">
        <v>2557</v>
      </c>
      <c r="F843" s="138" t="s">
        <v>2558</v>
      </c>
      <c r="K843" s="142"/>
    </row>
    <row r="844" spans="3:11">
      <c r="C844" s="20">
        <v>839</v>
      </c>
      <c r="D844" s="77" t="s">
        <v>2562</v>
      </c>
      <c r="E844" s="136" t="s">
        <v>2563</v>
      </c>
      <c r="F844" s="86" t="s">
        <v>2564</v>
      </c>
      <c r="K844" s="142"/>
    </row>
    <row r="845" spans="3:11">
      <c r="C845" s="20">
        <v>840</v>
      </c>
      <c r="D845" s="118" t="s">
        <v>2565</v>
      </c>
      <c r="E845" s="137" t="s">
        <v>2566</v>
      </c>
      <c r="F845" s="125" t="s">
        <v>2567</v>
      </c>
      <c r="K845" s="142"/>
    </row>
    <row r="846" spans="3:11">
      <c r="C846" s="20">
        <v>841</v>
      </c>
      <c r="D846" s="138" t="s">
        <v>2568</v>
      </c>
      <c r="E846" s="139" t="s">
        <v>2569</v>
      </c>
      <c r="F846" s="138" t="s">
        <v>2555</v>
      </c>
      <c r="K846" s="142"/>
    </row>
    <row r="847" spans="3:11">
      <c r="C847" s="20">
        <v>842</v>
      </c>
      <c r="D847" s="138" t="s">
        <v>2570</v>
      </c>
      <c r="E847" s="139" t="s">
        <v>2571</v>
      </c>
      <c r="F847" s="138" t="s">
        <v>2558</v>
      </c>
      <c r="K847" s="142"/>
    </row>
    <row r="848" spans="3:11">
      <c r="C848" s="20">
        <v>843</v>
      </c>
      <c r="D848" s="118" t="s">
        <v>2572</v>
      </c>
      <c r="E848" s="137" t="s">
        <v>2573</v>
      </c>
      <c r="F848" s="125" t="s">
        <v>2574</v>
      </c>
      <c r="K848" s="142"/>
    </row>
    <row r="849" spans="3:11">
      <c r="C849" s="20">
        <v>844</v>
      </c>
      <c r="D849" s="138" t="s">
        <v>2568</v>
      </c>
      <c r="E849" s="139" t="s">
        <v>2569</v>
      </c>
      <c r="F849" s="138" t="s">
        <v>2555</v>
      </c>
      <c r="K849" s="142"/>
    </row>
    <row r="850" spans="3:11">
      <c r="C850" s="20">
        <v>845</v>
      </c>
      <c r="D850" s="138" t="s">
        <v>2570</v>
      </c>
      <c r="E850" s="139" t="s">
        <v>2571</v>
      </c>
      <c r="F850" s="138" t="s">
        <v>2558</v>
      </c>
      <c r="K850" s="142"/>
    </row>
    <row r="851" spans="3:11">
      <c r="C851" s="20">
        <v>846</v>
      </c>
      <c r="D851" s="146"/>
      <c r="E851" s="64"/>
      <c r="F851" s="146"/>
      <c r="K851" s="142"/>
    </row>
    <row r="852" spans="3:11" ht="51">
      <c r="C852" s="20">
        <v>847</v>
      </c>
      <c r="D852" s="135" t="s">
        <v>2532</v>
      </c>
      <c r="E852" s="134" t="s">
        <v>2533</v>
      </c>
      <c r="F852" s="242" t="s">
        <v>2534</v>
      </c>
      <c r="K852" s="142"/>
    </row>
    <row r="853" spans="3:11">
      <c r="C853" s="20">
        <v>848</v>
      </c>
      <c r="D853" s="77" t="s">
        <v>2547</v>
      </c>
      <c r="E853" s="136" t="s">
        <v>2548</v>
      </c>
      <c r="F853" s="86" t="s">
        <v>2549</v>
      </c>
      <c r="K853" s="142"/>
    </row>
    <row r="854" spans="3:11">
      <c r="C854" s="20">
        <v>849</v>
      </c>
      <c r="D854" s="118" t="s">
        <v>2575</v>
      </c>
      <c r="E854" s="137" t="s">
        <v>2551</v>
      </c>
      <c r="F854" s="125" t="s">
        <v>2552</v>
      </c>
      <c r="K854" s="142"/>
    </row>
    <row r="855" spans="3:11">
      <c r="C855" s="20">
        <v>850</v>
      </c>
      <c r="D855" s="138" t="s">
        <v>2553</v>
      </c>
      <c r="E855" s="139" t="s">
        <v>2554</v>
      </c>
      <c r="F855" s="138" t="s">
        <v>2555</v>
      </c>
      <c r="K855" s="142"/>
    </row>
    <row r="856" spans="3:11">
      <c r="C856" s="20">
        <v>851</v>
      </c>
      <c r="D856" s="138" t="s">
        <v>2556</v>
      </c>
      <c r="E856" s="139" t="s">
        <v>2557</v>
      </c>
      <c r="F856" s="138" t="s">
        <v>2558</v>
      </c>
      <c r="K856" s="142"/>
    </row>
    <row r="857" spans="3:11">
      <c r="C857" s="20">
        <v>852</v>
      </c>
      <c r="D857" s="118" t="s">
        <v>2576</v>
      </c>
      <c r="E857" s="137" t="s">
        <v>2560</v>
      </c>
      <c r="F857" s="125" t="s">
        <v>2561</v>
      </c>
      <c r="K857" s="142"/>
    </row>
    <row r="858" spans="3:11">
      <c r="C858" s="20">
        <v>853</v>
      </c>
      <c r="D858" s="138" t="s">
        <v>2553</v>
      </c>
      <c r="E858" s="139" t="s">
        <v>2554</v>
      </c>
      <c r="F858" s="138" t="s">
        <v>2555</v>
      </c>
      <c r="K858" s="142"/>
    </row>
    <row r="859" spans="3:11">
      <c r="C859" s="20">
        <v>854</v>
      </c>
      <c r="D859" s="138" t="s">
        <v>2556</v>
      </c>
      <c r="E859" s="139" t="s">
        <v>2557</v>
      </c>
      <c r="F859" s="138" t="s">
        <v>2558</v>
      </c>
      <c r="K859" s="142"/>
    </row>
    <row r="860" spans="3:11">
      <c r="C860" s="20">
        <v>855</v>
      </c>
      <c r="D860" s="77" t="s">
        <v>2562</v>
      </c>
      <c r="E860" s="136" t="s">
        <v>2563</v>
      </c>
      <c r="F860" s="86" t="s">
        <v>2564</v>
      </c>
      <c r="K860" s="142"/>
    </row>
    <row r="861" spans="3:11">
      <c r="C861" s="20">
        <v>856</v>
      </c>
      <c r="D861" s="118" t="s">
        <v>2577</v>
      </c>
      <c r="E861" s="137" t="s">
        <v>2566</v>
      </c>
      <c r="F861" s="125" t="s">
        <v>2567</v>
      </c>
      <c r="K861" s="142"/>
    </row>
    <row r="862" spans="3:11">
      <c r="C862" s="20">
        <v>857</v>
      </c>
      <c r="D862" s="138" t="s">
        <v>2568</v>
      </c>
      <c r="E862" s="139" t="s">
        <v>2569</v>
      </c>
      <c r="F862" s="138" t="s">
        <v>2555</v>
      </c>
      <c r="K862" s="142"/>
    </row>
    <row r="863" spans="3:11">
      <c r="C863" s="20">
        <v>858</v>
      </c>
      <c r="D863" s="138" t="s">
        <v>2570</v>
      </c>
      <c r="E863" s="139" t="s">
        <v>2571</v>
      </c>
      <c r="F863" s="138" t="s">
        <v>2558</v>
      </c>
      <c r="K863" s="142"/>
    </row>
    <row r="864" spans="3:11">
      <c r="C864" s="20">
        <v>859</v>
      </c>
      <c r="D864" s="118" t="s">
        <v>2578</v>
      </c>
      <c r="E864" s="137" t="s">
        <v>2573</v>
      </c>
      <c r="F864" s="125" t="s">
        <v>2574</v>
      </c>
      <c r="K864" s="142"/>
    </row>
    <row r="865" spans="3:11">
      <c r="C865" s="20">
        <v>860</v>
      </c>
      <c r="D865" s="138" t="s">
        <v>2568</v>
      </c>
      <c r="E865" s="139" t="s">
        <v>2569</v>
      </c>
      <c r="F865" s="138" t="s">
        <v>2555</v>
      </c>
      <c r="K865" s="142"/>
    </row>
    <row r="866" spans="3:11">
      <c r="C866" s="20">
        <v>861</v>
      </c>
      <c r="D866" s="138" t="s">
        <v>2570</v>
      </c>
      <c r="E866" s="139" t="s">
        <v>2571</v>
      </c>
      <c r="F866" s="138" t="s">
        <v>2558</v>
      </c>
      <c r="K866" s="142"/>
    </row>
    <row r="867" spans="3:11">
      <c r="C867" s="20">
        <v>862</v>
      </c>
      <c r="D867" s="115"/>
      <c r="E867" s="64"/>
      <c r="F867" s="239"/>
      <c r="K867" s="142"/>
    </row>
    <row r="868" spans="3:11" ht="38.25">
      <c r="C868" s="20">
        <v>863</v>
      </c>
      <c r="D868" s="135" t="s">
        <v>2579</v>
      </c>
      <c r="E868" s="134" t="s">
        <v>2580</v>
      </c>
      <c r="F868" s="242" t="s">
        <v>2581</v>
      </c>
      <c r="K868" s="142"/>
    </row>
    <row r="869" spans="3:11">
      <c r="C869" s="20">
        <v>864</v>
      </c>
      <c r="D869" s="77" t="s">
        <v>2547</v>
      </c>
      <c r="E869" s="136" t="s">
        <v>2548</v>
      </c>
      <c r="F869" s="86" t="s">
        <v>2549</v>
      </c>
      <c r="K869" s="142"/>
    </row>
    <row r="870" spans="3:11">
      <c r="C870" s="20">
        <v>865</v>
      </c>
      <c r="D870" s="118" t="s">
        <v>2575</v>
      </c>
      <c r="E870" s="137" t="s">
        <v>2551</v>
      </c>
      <c r="F870" s="125" t="s">
        <v>2552</v>
      </c>
      <c r="K870" s="142"/>
    </row>
    <row r="871" spans="3:11">
      <c r="C871" s="20">
        <v>866</v>
      </c>
      <c r="D871" s="138" t="s">
        <v>2553</v>
      </c>
      <c r="E871" s="139" t="s">
        <v>2554</v>
      </c>
      <c r="F871" s="138" t="s">
        <v>2555</v>
      </c>
      <c r="K871" s="142"/>
    </row>
    <row r="872" spans="3:11">
      <c r="C872" s="20">
        <v>867</v>
      </c>
      <c r="D872" s="138" t="s">
        <v>2556</v>
      </c>
      <c r="E872" s="139" t="s">
        <v>2557</v>
      </c>
      <c r="F872" s="138" t="s">
        <v>2558</v>
      </c>
      <c r="K872" s="142"/>
    </row>
    <row r="873" spans="3:11">
      <c r="C873" s="20">
        <v>868</v>
      </c>
      <c r="D873" s="118" t="s">
        <v>2576</v>
      </c>
      <c r="E873" s="137" t="s">
        <v>2560</v>
      </c>
      <c r="F873" s="125" t="s">
        <v>2561</v>
      </c>
      <c r="K873" s="142"/>
    </row>
    <row r="874" spans="3:11">
      <c r="C874" s="20">
        <v>869</v>
      </c>
      <c r="D874" s="138" t="s">
        <v>2553</v>
      </c>
      <c r="E874" s="139" t="s">
        <v>2554</v>
      </c>
      <c r="F874" s="138" t="s">
        <v>2555</v>
      </c>
      <c r="K874" s="142"/>
    </row>
    <row r="875" spans="3:11">
      <c r="C875" s="20">
        <v>870</v>
      </c>
      <c r="D875" s="138" t="s">
        <v>2556</v>
      </c>
      <c r="E875" s="139" t="s">
        <v>2557</v>
      </c>
      <c r="F875" s="138" t="s">
        <v>2558</v>
      </c>
      <c r="K875" s="142"/>
    </row>
    <row r="876" spans="3:11">
      <c r="C876" s="20">
        <v>871</v>
      </c>
      <c r="D876" s="77" t="s">
        <v>2562</v>
      </c>
      <c r="E876" s="136" t="s">
        <v>2563</v>
      </c>
      <c r="F876" s="86" t="s">
        <v>2564</v>
      </c>
      <c r="K876" s="142"/>
    </row>
    <row r="877" spans="3:11">
      <c r="C877" s="20">
        <v>872</v>
      </c>
      <c r="D877" s="118" t="s">
        <v>2577</v>
      </c>
      <c r="E877" s="137" t="s">
        <v>2566</v>
      </c>
      <c r="F877" s="125" t="s">
        <v>2567</v>
      </c>
      <c r="K877" s="142"/>
    </row>
    <row r="878" spans="3:11">
      <c r="C878" s="20">
        <v>873</v>
      </c>
      <c r="D878" s="138" t="s">
        <v>2568</v>
      </c>
      <c r="E878" s="139" t="s">
        <v>2569</v>
      </c>
      <c r="F878" s="138" t="s">
        <v>2555</v>
      </c>
      <c r="K878" s="142"/>
    </row>
    <row r="879" spans="3:11">
      <c r="C879" s="20">
        <v>874</v>
      </c>
      <c r="D879" s="138" t="s">
        <v>2570</v>
      </c>
      <c r="E879" s="139" t="s">
        <v>2571</v>
      </c>
      <c r="F879" s="138" t="s">
        <v>2558</v>
      </c>
      <c r="K879" s="142"/>
    </row>
    <row r="880" spans="3:11">
      <c r="C880" s="20">
        <v>875</v>
      </c>
      <c r="D880" s="118" t="s">
        <v>2578</v>
      </c>
      <c r="E880" s="137" t="s">
        <v>2573</v>
      </c>
      <c r="F880" s="125" t="s">
        <v>2574</v>
      </c>
      <c r="K880" s="142"/>
    </row>
    <row r="881" spans="3:11">
      <c r="C881" s="20">
        <v>876</v>
      </c>
      <c r="D881" s="138" t="s">
        <v>2568</v>
      </c>
      <c r="E881" s="139" t="s">
        <v>2569</v>
      </c>
      <c r="F881" s="138" t="s">
        <v>2555</v>
      </c>
      <c r="K881" s="142"/>
    </row>
    <row r="882" spans="3:11">
      <c r="C882" s="20">
        <v>877</v>
      </c>
      <c r="D882" s="138" t="s">
        <v>2570</v>
      </c>
      <c r="E882" s="139" t="s">
        <v>2571</v>
      </c>
      <c r="F882" s="138" t="s">
        <v>2558</v>
      </c>
      <c r="K882" s="142"/>
    </row>
    <row r="883" spans="3:11">
      <c r="C883" s="20">
        <v>878</v>
      </c>
      <c r="D883" s="115"/>
      <c r="E883" s="64"/>
      <c r="F883" s="239"/>
      <c r="K883" s="142"/>
    </row>
    <row r="884" spans="3:11" ht="51">
      <c r="C884" s="20">
        <v>879</v>
      </c>
      <c r="D884" s="135" t="s">
        <v>2538</v>
      </c>
      <c r="E884" s="134" t="s">
        <v>2539</v>
      </c>
      <c r="F884" s="242" t="s">
        <v>2540</v>
      </c>
      <c r="K884" s="142"/>
    </row>
    <row r="885" spans="3:11">
      <c r="C885" s="20">
        <v>880</v>
      </c>
      <c r="D885" s="77" t="s">
        <v>2547</v>
      </c>
      <c r="E885" s="136" t="s">
        <v>2548</v>
      </c>
      <c r="F885" s="86" t="s">
        <v>2549</v>
      </c>
      <c r="K885" s="142"/>
    </row>
    <row r="886" spans="3:11">
      <c r="C886" s="20">
        <v>881</v>
      </c>
      <c r="D886" s="118" t="s">
        <v>2575</v>
      </c>
      <c r="E886" s="137" t="s">
        <v>2551</v>
      </c>
      <c r="F886" s="125" t="s">
        <v>2552</v>
      </c>
      <c r="K886" s="142"/>
    </row>
    <row r="887" spans="3:11">
      <c r="C887" s="20">
        <v>882</v>
      </c>
      <c r="D887" s="138" t="s">
        <v>2553</v>
      </c>
      <c r="E887" s="139" t="s">
        <v>2554</v>
      </c>
      <c r="F887" s="138" t="s">
        <v>2555</v>
      </c>
      <c r="K887" s="142"/>
    </row>
    <row r="888" spans="3:11">
      <c r="C888" s="20">
        <v>883</v>
      </c>
      <c r="D888" s="138" t="s">
        <v>2556</v>
      </c>
      <c r="E888" s="139" t="s">
        <v>2557</v>
      </c>
      <c r="F888" s="138" t="s">
        <v>2558</v>
      </c>
      <c r="K888" s="142"/>
    </row>
    <row r="889" spans="3:11">
      <c r="C889" s="20">
        <v>884</v>
      </c>
      <c r="D889" s="118" t="s">
        <v>2576</v>
      </c>
      <c r="E889" s="137" t="s">
        <v>2560</v>
      </c>
      <c r="F889" s="125" t="s">
        <v>2561</v>
      </c>
      <c r="K889" s="142"/>
    </row>
    <row r="890" spans="3:11">
      <c r="C890" s="20">
        <v>885</v>
      </c>
      <c r="D890" s="138" t="s">
        <v>2553</v>
      </c>
      <c r="E890" s="139" t="s">
        <v>2554</v>
      </c>
      <c r="F890" s="138" t="s">
        <v>2555</v>
      </c>
      <c r="K890" s="142"/>
    </row>
    <row r="891" spans="3:11">
      <c r="C891" s="20">
        <v>886</v>
      </c>
      <c r="D891" s="372" t="s">
        <v>2556</v>
      </c>
      <c r="E891" s="139" t="s">
        <v>2557</v>
      </c>
      <c r="F891" s="138" t="s">
        <v>2558</v>
      </c>
      <c r="K891" s="142"/>
    </row>
    <row r="892" spans="3:11">
      <c r="C892" s="20">
        <v>887</v>
      </c>
      <c r="D892" s="77" t="s">
        <v>2562</v>
      </c>
      <c r="E892" s="136" t="s">
        <v>2563</v>
      </c>
      <c r="F892" s="86" t="s">
        <v>2564</v>
      </c>
      <c r="K892" s="142"/>
    </row>
    <row r="893" spans="3:11">
      <c r="C893" s="20">
        <v>888</v>
      </c>
      <c r="D893" s="118" t="s">
        <v>2577</v>
      </c>
      <c r="E893" s="137" t="s">
        <v>2566</v>
      </c>
      <c r="F893" s="125" t="s">
        <v>2567</v>
      </c>
      <c r="K893" s="142"/>
    </row>
    <row r="894" spans="3:11">
      <c r="C894" s="20">
        <v>889</v>
      </c>
      <c r="D894" s="138" t="s">
        <v>2568</v>
      </c>
      <c r="E894" s="139" t="s">
        <v>2569</v>
      </c>
      <c r="F894" s="138" t="s">
        <v>2555</v>
      </c>
      <c r="K894" s="142"/>
    </row>
    <row r="895" spans="3:11">
      <c r="C895" s="20">
        <v>890</v>
      </c>
      <c r="D895" s="138" t="s">
        <v>2570</v>
      </c>
      <c r="E895" s="139" t="s">
        <v>2571</v>
      </c>
      <c r="F895" s="138" t="s">
        <v>2558</v>
      </c>
      <c r="K895" s="142"/>
    </row>
    <row r="896" spans="3:11">
      <c r="C896" s="20">
        <v>891</v>
      </c>
      <c r="D896" s="118" t="s">
        <v>2578</v>
      </c>
      <c r="E896" s="137" t="s">
        <v>2573</v>
      </c>
      <c r="F896" s="125" t="s">
        <v>2574</v>
      </c>
      <c r="K896" s="142"/>
    </row>
    <row r="897" spans="3:11">
      <c r="C897" s="20">
        <v>892</v>
      </c>
      <c r="D897" s="138" t="s">
        <v>2568</v>
      </c>
      <c r="E897" s="139" t="s">
        <v>2569</v>
      </c>
      <c r="F897" s="138" t="s">
        <v>2555</v>
      </c>
      <c r="K897" s="142"/>
    </row>
    <row r="898" spans="3:11">
      <c r="C898" s="20">
        <v>893</v>
      </c>
      <c r="D898" s="138" t="s">
        <v>2570</v>
      </c>
      <c r="E898" s="139" t="s">
        <v>2571</v>
      </c>
      <c r="F898" s="138" t="s">
        <v>2558</v>
      </c>
      <c r="K898" s="142"/>
    </row>
    <row r="899" spans="3:11">
      <c r="C899" s="20">
        <v>894</v>
      </c>
      <c r="D899" s="74" t="s">
        <v>2582</v>
      </c>
      <c r="E899" s="75" t="s">
        <v>2583</v>
      </c>
      <c r="F899" s="83" t="s">
        <v>2584</v>
      </c>
      <c r="H899" s="171"/>
      <c r="I899" s="171"/>
      <c r="J899" s="171"/>
      <c r="K899" s="172"/>
    </row>
    <row r="900" spans="3:11" ht="13.5" thickBot="1">
      <c r="C900" s="20">
        <v>895</v>
      </c>
      <c r="D900" s="77" t="s">
        <v>2585</v>
      </c>
      <c r="E900" s="78" t="s">
        <v>2586</v>
      </c>
      <c r="F900" s="86" t="s">
        <v>2587</v>
      </c>
      <c r="H900" s="173"/>
      <c r="I900" s="173"/>
      <c r="J900" s="173"/>
      <c r="K900" s="174"/>
    </row>
    <row r="901" spans="3:11">
      <c r="C901" s="20">
        <v>896</v>
      </c>
      <c r="D901" s="517" t="s">
        <v>2588</v>
      </c>
      <c r="E901" s="518"/>
      <c r="K901" s="142"/>
    </row>
    <row r="902" spans="3:11">
      <c r="C902" s="20">
        <v>897</v>
      </c>
      <c r="D902" s="53"/>
      <c r="E902" s="7"/>
      <c r="F902" s="53"/>
      <c r="K902" s="142"/>
    </row>
    <row r="903" spans="3:11">
      <c r="C903" s="20">
        <v>898</v>
      </c>
      <c r="D903" s="178" t="s">
        <v>2589</v>
      </c>
      <c r="E903" s="178" t="s">
        <v>2590</v>
      </c>
      <c r="F903" s="178" t="s">
        <v>2591</v>
      </c>
      <c r="K903" s="142"/>
    </row>
    <row r="904" spans="3:11" ht="25.5">
      <c r="C904" s="20">
        <v>899</v>
      </c>
      <c r="D904" s="373" t="s">
        <v>2592</v>
      </c>
      <c r="E904" s="373" t="s">
        <v>2593</v>
      </c>
      <c r="F904" s="373" t="s">
        <v>2591</v>
      </c>
      <c r="K904" s="142"/>
    </row>
    <row r="905" spans="3:11">
      <c r="C905" s="20">
        <v>900</v>
      </c>
      <c r="D905" s="178" t="s">
        <v>2594</v>
      </c>
      <c r="E905" s="178" t="s">
        <v>2595</v>
      </c>
      <c r="F905" s="178" t="s">
        <v>2591</v>
      </c>
      <c r="K905" s="142"/>
    </row>
    <row r="906" spans="3:11" ht="25.5">
      <c r="C906" s="20">
        <v>901</v>
      </c>
      <c r="D906" s="373" t="s">
        <v>2596</v>
      </c>
      <c r="E906" s="373" t="s">
        <v>2597</v>
      </c>
      <c r="F906" s="373" t="s">
        <v>2591</v>
      </c>
      <c r="K906" s="142"/>
    </row>
    <row r="907" spans="3:11">
      <c r="C907" s="20">
        <v>902</v>
      </c>
      <c r="D907" s="178" t="s">
        <v>2598</v>
      </c>
      <c r="E907" s="178" t="s">
        <v>2599</v>
      </c>
      <c r="F907" s="178" t="s">
        <v>2591</v>
      </c>
      <c r="K907" s="142"/>
    </row>
    <row r="908" spans="3:11" ht="38.25">
      <c r="C908" s="20">
        <v>903</v>
      </c>
      <c r="D908" s="373" t="s">
        <v>2600</v>
      </c>
      <c r="E908" s="373" t="s">
        <v>2601</v>
      </c>
      <c r="F908" s="373" t="s">
        <v>2591</v>
      </c>
      <c r="K908" s="142"/>
    </row>
    <row r="909" spans="3:11">
      <c r="C909" s="20">
        <v>904</v>
      </c>
      <c r="D909" s="178" t="s">
        <v>2602</v>
      </c>
      <c r="E909" s="178" t="s">
        <v>2603</v>
      </c>
      <c r="F909" s="178" t="s">
        <v>2591</v>
      </c>
      <c r="K909" s="142"/>
    </row>
    <row r="910" spans="3:11" ht="38.25">
      <c r="C910" s="20">
        <v>905</v>
      </c>
      <c r="D910" s="373" t="s">
        <v>2604</v>
      </c>
      <c r="E910" s="373" t="s">
        <v>2605</v>
      </c>
      <c r="F910" s="373" t="s">
        <v>2591</v>
      </c>
      <c r="K910" s="142"/>
    </row>
    <row r="911" spans="3:11" ht="25.5">
      <c r="C911" s="20">
        <v>906</v>
      </c>
      <c r="D911" s="178" t="s">
        <v>2606</v>
      </c>
      <c r="E911" s="178" t="s">
        <v>2607</v>
      </c>
      <c r="F911" s="178" t="s">
        <v>2591</v>
      </c>
      <c r="K911" s="142"/>
    </row>
    <row r="912" spans="3:11" ht="25.5">
      <c r="C912" s="20">
        <v>907</v>
      </c>
      <c r="D912" s="373" t="s">
        <v>2608</v>
      </c>
      <c r="E912" s="373" t="s">
        <v>2609</v>
      </c>
      <c r="F912" s="373" t="s">
        <v>2591</v>
      </c>
      <c r="K912" s="142"/>
    </row>
    <row r="913" spans="3:11" ht="25.5">
      <c r="C913" s="20">
        <v>908</v>
      </c>
      <c r="D913" s="178" t="s">
        <v>2610</v>
      </c>
      <c r="E913" s="178" t="s">
        <v>2611</v>
      </c>
      <c r="F913" s="178" t="s">
        <v>2591</v>
      </c>
      <c r="K913" s="142"/>
    </row>
    <row r="914" spans="3:11" ht="25.5">
      <c r="C914" s="20">
        <v>909</v>
      </c>
      <c r="D914" s="373" t="s">
        <v>2612</v>
      </c>
      <c r="E914" s="373" t="s">
        <v>2613</v>
      </c>
      <c r="F914" s="373" t="s">
        <v>2591</v>
      </c>
      <c r="K914" s="142"/>
    </row>
    <row r="915" spans="3:11" ht="25.5">
      <c r="C915" s="20">
        <v>910</v>
      </c>
      <c r="D915" s="178" t="s">
        <v>2614</v>
      </c>
      <c r="E915" s="178" t="s">
        <v>2615</v>
      </c>
      <c r="F915" s="178" t="s">
        <v>2591</v>
      </c>
      <c r="K915" s="142"/>
    </row>
    <row r="916" spans="3:11" ht="38.25">
      <c r="C916" s="20">
        <v>911</v>
      </c>
      <c r="D916" s="373" t="s">
        <v>2616</v>
      </c>
      <c r="E916" s="373" t="s">
        <v>2617</v>
      </c>
      <c r="F916" s="373" t="s">
        <v>2591</v>
      </c>
      <c r="K916" s="142"/>
    </row>
    <row r="917" spans="3:11" ht="25.5">
      <c r="C917" s="20">
        <v>912</v>
      </c>
      <c r="D917" s="178" t="s">
        <v>2618</v>
      </c>
      <c r="E917" s="178" t="s">
        <v>2619</v>
      </c>
      <c r="F917" s="178" t="s">
        <v>2591</v>
      </c>
      <c r="K917" s="142"/>
    </row>
    <row r="918" spans="3:11" ht="38.25">
      <c r="C918" s="20">
        <v>913</v>
      </c>
      <c r="D918" s="373" t="s">
        <v>2620</v>
      </c>
      <c r="E918" s="373" t="s">
        <v>2621</v>
      </c>
      <c r="F918" s="373" t="s">
        <v>2591</v>
      </c>
      <c r="K918" s="142"/>
    </row>
    <row r="919" spans="3:11" ht="25.5">
      <c r="C919" s="20">
        <v>914</v>
      </c>
      <c r="D919" s="372" t="s">
        <v>2622</v>
      </c>
      <c r="E919" s="178" t="s">
        <v>2623</v>
      </c>
      <c r="F919" s="372" t="s">
        <v>2591</v>
      </c>
      <c r="K919" s="142"/>
    </row>
    <row r="920" spans="3:11" ht="38.25">
      <c r="C920" s="20">
        <v>915</v>
      </c>
      <c r="D920" s="373" t="s">
        <v>2624</v>
      </c>
      <c r="E920" s="373" t="s">
        <v>2625</v>
      </c>
      <c r="F920" s="373" t="s">
        <v>2591</v>
      </c>
      <c r="K920" s="142"/>
    </row>
    <row r="921" spans="3:11" ht="25.5">
      <c r="C921" s="20">
        <v>916</v>
      </c>
      <c r="D921" s="178" t="s">
        <v>2626</v>
      </c>
      <c r="E921" s="178" t="s">
        <v>2627</v>
      </c>
      <c r="F921" s="178" t="s">
        <v>2591</v>
      </c>
      <c r="K921" s="142"/>
    </row>
    <row r="922" spans="3:11" ht="38.25">
      <c r="C922" s="20">
        <v>917</v>
      </c>
      <c r="D922" s="373" t="s">
        <v>2628</v>
      </c>
      <c r="E922" s="373" t="s">
        <v>2629</v>
      </c>
      <c r="F922" s="373" t="s">
        <v>2591</v>
      </c>
      <c r="K922" s="142"/>
    </row>
    <row r="923" spans="3:11">
      <c r="C923" s="20">
        <v>918</v>
      </c>
      <c r="D923" s="374"/>
      <c r="E923" s="375"/>
      <c r="F923" s="376"/>
      <c r="K923" s="142"/>
    </row>
    <row r="924" spans="3:11">
      <c r="C924" s="20">
        <v>919</v>
      </c>
      <c r="D924" s="377"/>
      <c r="E924" s="378"/>
      <c r="F924" s="376"/>
      <c r="K924" s="142"/>
    </row>
    <row r="925" spans="3:11">
      <c r="C925" s="20">
        <v>920</v>
      </c>
      <c r="D925" s="178" t="s">
        <v>2589</v>
      </c>
      <c r="E925" s="178" t="str">
        <f>+E903</f>
        <v>Nominalwert der Währungsswaps &lt; 5 Jahre</v>
      </c>
      <c r="F925" s="178" t="s">
        <v>2591</v>
      </c>
      <c r="K925" s="142"/>
    </row>
    <row r="926" spans="3:11" ht="25.5">
      <c r="C926" s="20">
        <v>921</v>
      </c>
      <c r="D926" s="373" t="s">
        <v>2592</v>
      </c>
      <c r="E926" s="373" t="str">
        <f t="shared" ref="E926:E944" si="0">+E904</f>
        <v>Nominalwert der Währungsswaps mit einer DURCHSCHNITTLICHEN LAUFZEIT &lt; 5 Jahren</v>
      </c>
      <c r="F926" s="373" t="s">
        <v>2591</v>
      </c>
      <c r="K926" s="142"/>
    </row>
    <row r="927" spans="3:11">
      <c r="C927" s="20">
        <v>922</v>
      </c>
      <c r="D927" s="178" t="s">
        <v>2594</v>
      </c>
      <c r="E927" s="178" t="str">
        <f t="shared" si="0"/>
        <v>Nominalwert der Währungsswaps 5 - &lt;10 Jahre</v>
      </c>
      <c r="F927" s="178" t="s">
        <v>2591</v>
      </c>
      <c r="K927" s="142"/>
    </row>
    <row r="928" spans="3:11" ht="25.5">
      <c r="C928" s="20">
        <v>923</v>
      </c>
      <c r="D928" s="373" t="s">
        <v>2596</v>
      </c>
      <c r="E928" s="373" t="str">
        <f t="shared" si="0"/>
        <v>Nominalwert der Währungsswaps mit einer DURCHSCHNITTLICHEN LAUFZEIT von 5 - &lt; 10 Jahren</v>
      </c>
      <c r="F928" s="373" t="s">
        <v>2591</v>
      </c>
      <c r="K928" s="142"/>
    </row>
    <row r="929" spans="3:11">
      <c r="C929" s="20">
        <v>924</v>
      </c>
      <c r="D929" s="178" t="s">
        <v>2598</v>
      </c>
      <c r="E929" s="178" t="str">
        <f t="shared" si="0"/>
        <v>Nominalwert der Währungsswaps 10 - &lt;15 Jahre</v>
      </c>
      <c r="F929" s="178" t="s">
        <v>2591</v>
      </c>
      <c r="K929" s="142"/>
    </row>
    <row r="930" spans="3:11" ht="38.25">
      <c r="C930" s="20">
        <v>925</v>
      </c>
      <c r="D930" s="373" t="s">
        <v>2600</v>
      </c>
      <c r="E930" s="373" t="str">
        <f t="shared" si="0"/>
        <v>Nominalwert der Währungsswaps mit einer DURCHSCHNITTLICHEN LAUFZEIT von 10 - &lt; 15 Jahren</v>
      </c>
      <c r="F930" s="373" t="s">
        <v>2591</v>
      </c>
      <c r="K930" s="142"/>
    </row>
    <row r="931" spans="3:11">
      <c r="C931" s="20">
        <v>926</v>
      </c>
      <c r="D931" s="178" t="s">
        <v>2602</v>
      </c>
      <c r="E931" s="178" t="str">
        <f t="shared" si="0"/>
        <v>Nominalwert der Währungsswaps 15 - &lt;25 Jahre</v>
      </c>
      <c r="F931" s="178" t="s">
        <v>2591</v>
      </c>
      <c r="K931" s="142"/>
    </row>
    <row r="932" spans="3:11" ht="38.25">
      <c r="C932" s="20">
        <v>927</v>
      </c>
      <c r="D932" s="373" t="s">
        <v>2604</v>
      </c>
      <c r="E932" s="373" t="str">
        <f t="shared" si="0"/>
        <v>Nominalwert der Währungsswaps mit einer DURCHSCHNITTLICHEN LAUFZEIT von 15 - &lt; 25 Jahren</v>
      </c>
      <c r="F932" s="373" t="s">
        <v>2591</v>
      </c>
      <c r="K932" s="142"/>
    </row>
    <row r="933" spans="3:11" ht="25.5">
      <c r="C933" s="20">
        <v>928</v>
      </c>
      <c r="D933" s="178" t="s">
        <v>2606</v>
      </c>
      <c r="E933" s="178" t="str">
        <f t="shared" si="0"/>
        <v>Nominalwert der Währungsswaps 25 Jahre und laenger</v>
      </c>
      <c r="F933" s="178" t="s">
        <v>2591</v>
      </c>
      <c r="K933" s="142"/>
    </row>
    <row r="934" spans="3:11" ht="25.5">
      <c r="C934" s="20">
        <v>929</v>
      </c>
      <c r="D934" s="373" t="s">
        <v>2608</v>
      </c>
      <c r="E934" s="373" t="str">
        <f t="shared" si="0"/>
        <v>Nominalwert der Währungsswaps mit einer DURCHSCHNITTLICHEN LAUFZEIT mehr als 25 Jahren</v>
      </c>
      <c r="F934" s="373" t="s">
        <v>2591</v>
      </c>
      <c r="K934" s="142"/>
    </row>
    <row r="935" spans="3:11" ht="25.5">
      <c r="C935" s="20">
        <v>930</v>
      </c>
      <c r="D935" s="372" t="s">
        <v>2610</v>
      </c>
      <c r="E935" s="178" t="str">
        <f t="shared" si="0"/>
        <v>Durchschnittlicher Währungskurs der Währungsswaps &lt; 5 Jahre</v>
      </c>
      <c r="F935" s="372" t="s">
        <v>2591</v>
      </c>
      <c r="K935" s="142"/>
    </row>
    <row r="936" spans="3:11" ht="25.5">
      <c r="C936" s="20">
        <v>931</v>
      </c>
      <c r="D936" s="373" t="s">
        <v>2612</v>
      </c>
      <c r="E936" s="373" t="str">
        <f t="shared" si="0"/>
        <v>Durchschnittlicher Währungskurs der Währungsswaps mit einer DURCHSCHNITTLICHEN LAUFZEIT &lt; 5 Jahre</v>
      </c>
      <c r="F936" s="373" t="s">
        <v>2591</v>
      </c>
      <c r="K936" s="142"/>
    </row>
    <row r="937" spans="3:11" ht="25.5">
      <c r="C937" s="20">
        <v>932</v>
      </c>
      <c r="D937" s="178" t="s">
        <v>2614</v>
      </c>
      <c r="E937" s="178" t="str">
        <f t="shared" si="0"/>
        <v>Durchschnittlicher Währungskurs der Währungsswaps 5 - &lt; 10 Jahre</v>
      </c>
      <c r="F937" s="178" t="s">
        <v>2591</v>
      </c>
      <c r="K937" s="142"/>
    </row>
    <row r="938" spans="3:11" ht="38.25">
      <c r="C938" s="20">
        <v>933</v>
      </c>
      <c r="D938" s="373" t="s">
        <v>2616</v>
      </c>
      <c r="E938" s="373" t="str">
        <f t="shared" si="0"/>
        <v>Durchschnittlicher Währungskurs der Währungsswaps mit einer DURCHSCHNITTLICHEN LAUFZEIT von 5 - &lt; 10 Jahren</v>
      </c>
      <c r="F938" s="373" t="s">
        <v>2591</v>
      </c>
      <c r="K938" s="142"/>
    </row>
    <row r="939" spans="3:11" ht="25.5">
      <c r="C939" s="20">
        <v>934</v>
      </c>
      <c r="D939" s="178" t="s">
        <v>2618</v>
      </c>
      <c r="E939" s="178" t="str">
        <f t="shared" si="0"/>
        <v>Durchschnittlicher Währungskurs der Währungsswaps 10 - &lt; 15 Jahre</v>
      </c>
      <c r="F939" s="178" t="s">
        <v>2591</v>
      </c>
      <c r="K939" s="142"/>
    </row>
    <row r="940" spans="3:11" ht="38.25">
      <c r="C940" s="20">
        <v>935</v>
      </c>
      <c r="D940" s="373" t="s">
        <v>2620</v>
      </c>
      <c r="E940" s="373" t="str">
        <f t="shared" si="0"/>
        <v>Durchschnittlicher Währungskurs der Währungsswaps mit einer DURCHSCHNITTLICHEN LAUFZEIT von 10 - &lt; 15 Jahren</v>
      </c>
      <c r="F940" s="373" t="s">
        <v>2591</v>
      </c>
      <c r="K940" s="142"/>
    </row>
    <row r="941" spans="3:11" ht="25.5">
      <c r="C941" s="20">
        <v>936</v>
      </c>
      <c r="D941" s="178" t="s">
        <v>2622</v>
      </c>
      <c r="E941" s="178" t="str">
        <f t="shared" si="0"/>
        <v>Durchschnittlicher Währungskurs der Währungsswaps 15 - &lt; 25 Jahre</v>
      </c>
      <c r="F941" s="178" t="s">
        <v>2591</v>
      </c>
      <c r="K941" s="142"/>
    </row>
    <row r="942" spans="3:11" ht="38.25">
      <c r="C942" s="20">
        <v>937</v>
      </c>
      <c r="D942" s="373" t="s">
        <v>2624</v>
      </c>
      <c r="E942" s="373" t="str">
        <f t="shared" si="0"/>
        <v>Durchschnittlicher Währungskurs der Währungsswaps mit einer DURCHSCHNITTLICHEN LAUFZEIT von 15 - &lt; 25 Jahren</v>
      </c>
      <c r="F942" s="373" t="s">
        <v>2591</v>
      </c>
      <c r="K942" s="142"/>
    </row>
    <row r="943" spans="3:11" ht="25.5">
      <c r="C943" s="20">
        <v>938</v>
      </c>
      <c r="D943" s="178" t="s">
        <v>2626</v>
      </c>
      <c r="E943" s="178" t="str">
        <f t="shared" si="0"/>
        <v>Durchschnittlicher Währungskurs der Währungsswaps  25 Jahre und laenger</v>
      </c>
      <c r="F943" s="178" t="s">
        <v>2591</v>
      </c>
      <c r="K943" s="142"/>
    </row>
    <row r="944" spans="3:11" ht="38.25">
      <c r="C944" s="20">
        <v>939</v>
      </c>
      <c r="D944" s="373" t="s">
        <v>2628</v>
      </c>
      <c r="E944" s="373" t="str">
        <f t="shared" si="0"/>
        <v>Durchschnittlicher Währungskurs der Währungsswaps mit einer DURCHSCHNITTLICHEN LAUFZEIT von mehr als 25 Jahren</v>
      </c>
      <c r="F944" s="373" t="s">
        <v>2591</v>
      </c>
      <c r="K944" s="142"/>
    </row>
    <row r="945" spans="3:11">
      <c r="C945" s="20">
        <v>940</v>
      </c>
      <c r="D945" s="372"/>
      <c r="E945" s="379"/>
      <c r="F945" s="372"/>
      <c r="K945" s="142"/>
    </row>
    <row r="946" spans="3:11">
      <c r="C946" s="20">
        <v>941</v>
      </c>
      <c r="D946" s="372"/>
      <c r="E946" s="379"/>
      <c r="F946" s="372"/>
      <c r="K946" s="142"/>
    </row>
    <row r="947" spans="3:11" ht="13.5" thickBot="1">
      <c r="C947" s="20">
        <v>942</v>
      </c>
      <c r="D947" s="372"/>
      <c r="E947" s="379"/>
      <c r="F947" s="372"/>
      <c r="K947" s="142"/>
    </row>
    <row r="948" spans="3:11">
      <c r="C948" s="20">
        <v>943</v>
      </c>
      <c r="D948" s="517" t="s">
        <v>2630</v>
      </c>
      <c r="E948" s="519"/>
      <c r="F948" s="372"/>
      <c r="K948" s="142"/>
    </row>
    <row r="949" spans="3:11">
      <c r="C949" s="20">
        <v>944</v>
      </c>
      <c r="D949" s="372" t="s">
        <v>2631</v>
      </c>
      <c r="E949" s="379" t="s">
        <v>2632</v>
      </c>
      <c r="F949" s="372" t="s">
        <v>2633</v>
      </c>
      <c r="K949" s="142"/>
    </row>
    <row r="950" spans="3:11" ht="76.5">
      <c r="C950" s="20">
        <v>945</v>
      </c>
      <c r="D950" s="372" t="s">
        <v>2634</v>
      </c>
      <c r="E950" s="379" t="s">
        <v>2635</v>
      </c>
      <c r="F950" s="372" t="s">
        <v>2636</v>
      </c>
      <c r="K950" s="142"/>
    </row>
    <row r="951" spans="3:11">
      <c r="C951" s="20">
        <v>946</v>
      </c>
      <c r="D951" s="372"/>
      <c r="E951" s="379"/>
      <c r="F951" s="372"/>
      <c r="K951" s="142"/>
    </row>
    <row r="952" spans="3:11">
      <c r="C952" s="20">
        <v>947</v>
      </c>
      <c r="D952" s="372"/>
      <c r="E952" s="379"/>
      <c r="F952" s="372"/>
      <c r="K952" s="142"/>
    </row>
    <row r="953" spans="3:11" ht="25.5">
      <c r="C953" s="20">
        <v>948</v>
      </c>
      <c r="D953" s="372" t="s">
        <v>2637</v>
      </c>
      <c r="E953" s="379" t="s">
        <v>2638</v>
      </c>
      <c r="F953" s="372" t="s">
        <v>2639</v>
      </c>
      <c r="K953" s="142"/>
    </row>
    <row r="954" spans="3:11" ht="38.25">
      <c r="C954" s="20">
        <v>949</v>
      </c>
      <c r="D954" s="372" t="s">
        <v>2640</v>
      </c>
      <c r="E954" s="380" t="s">
        <v>2641</v>
      </c>
      <c r="F954" s="372" t="s">
        <v>2642</v>
      </c>
      <c r="K954" s="142"/>
    </row>
    <row r="955" spans="3:11">
      <c r="C955" s="20">
        <v>950</v>
      </c>
      <c r="D955" s="372"/>
      <c r="E955" s="379"/>
      <c r="F955" s="372"/>
      <c r="K955" s="142"/>
    </row>
    <row r="956" spans="3:11" ht="38.25">
      <c r="C956" s="20">
        <v>951</v>
      </c>
      <c r="D956" s="372" t="s">
        <v>2643</v>
      </c>
      <c r="E956" s="379" t="s">
        <v>2644</v>
      </c>
      <c r="F956" s="372" t="s">
        <v>1407</v>
      </c>
      <c r="K956" s="142"/>
    </row>
    <row r="957" spans="3:11" ht="38.25">
      <c r="C957" s="20">
        <v>952</v>
      </c>
      <c r="D957" s="372" t="s">
        <v>2645</v>
      </c>
      <c r="E957" s="379" t="s">
        <v>2646</v>
      </c>
      <c r="F957" s="372" t="s">
        <v>2647</v>
      </c>
      <c r="K957" s="142"/>
    </row>
    <row r="958" spans="3:11">
      <c r="C958" s="20">
        <v>953</v>
      </c>
      <c r="D958" s="372"/>
      <c r="E958" s="379"/>
      <c r="F958" s="372"/>
      <c r="K958" s="142"/>
    </row>
    <row r="959" spans="3:11">
      <c r="C959" s="20">
        <v>954</v>
      </c>
      <c r="D959" s="372" t="s">
        <v>2648</v>
      </c>
      <c r="E959" s="379" t="s">
        <v>2649</v>
      </c>
      <c r="F959" s="372" t="s">
        <v>2650</v>
      </c>
      <c r="K959" s="142"/>
    </row>
    <row r="960" spans="3:11">
      <c r="C960" s="20">
        <v>955</v>
      </c>
      <c r="D960" s="372" t="s">
        <v>2651</v>
      </c>
      <c r="E960" s="379" t="s">
        <v>2652</v>
      </c>
      <c r="F960" s="372" t="s">
        <v>2653</v>
      </c>
      <c r="K960" s="142"/>
    </row>
    <row r="961" spans="3:13" ht="25.5">
      <c r="C961" s="20">
        <v>956</v>
      </c>
      <c r="D961" s="372" t="s">
        <v>2654</v>
      </c>
      <c r="E961" s="379" t="s">
        <v>2655</v>
      </c>
      <c r="F961" s="372" t="s">
        <v>2656</v>
      </c>
      <c r="K961" s="142"/>
    </row>
    <row r="962" spans="3:13" ht="25.5">
      <c r="C962" s="20">
        <v>957</v>
      </c>
      <c r="D962" s="372" t="s">
        <v>2657</v>
      </c>
      <c r="E962" s="379" t="s">
        <v>2658</v>
      </c>
      <c r="F962" s="372" t="s">
        <v>2656</v>
      </c>
      <c r="K962" s="142"/>
    </row>
    <row r="963" spans="3:13" ht="13.5" thickBot="1">
      <c r="C963" s="20">
        <v>958</v>
      </c>
      <c r="D963" s="372"/>
      <c r="E963" s="379"/>
      <c r="F963" s="372"/>
      <c r="K963" s="142"/>
    </row>
    <row r="964" spans="3:13" ht="12.75" customHeight="1">
      <c r="C964" s="20">
        <v>959</v>
      </c>
      <c r="D964" s="517" t="s">
        <v>2659</v>
      </c>
      <c r="E964" s="519"/>
      <c r="F964" s="247"/>
      <c r="K964" s="142"/>
    </row>
    <row r="965" spans="3:13" ht="25.5">
      <c r="C965" s="20">
        <v>960</v>
      </c>
      <c r="D965" s="280" t="s">
        <v>2660</v>
      </c>
      <c r="E965" s="379" t="s">
        <v>2661</v>
      </c>
      <c r="F965" s="381" t="s">
        <v>2662</v>
      </c>
      <c r="K965" s="142"/>
    </row>
    <row r="966" spans="3:13" ht="14.25">
      <c r="C966" s="20">
        <v>961</v>
      </c>
      <c r="D966" s="280" t="s">
        <v>2663</v>
      </c>
      <c r="E966" s="379" t="s">
        <v>2664</v>
      </c>
      <c r="F966" s="381" t="s">
        <v>2665</v>
      </c>
      <c r="K966" s="142"/>
    </row>
    <row r="967" spans="3:13" ht="14.25">
      <c r="C967" s="20">
        <v>962</v>
      </c>
      <c r="D967" s="181" t="s">
        <v>2666</v>
      </c>
      <c r="E967" s="379" t="s">
        <v>13</v>
      </c>
      <c r="F967" s="381" t="s">
        <v>2667</v>
      </c>
      <c r="K967" s="142"/>
    </row>
    <row r="968" spans="3:13" ht="14.25">
      <c r="C968" s="20">
        <v>963</v>
      </c>
      <c r="D968" s="181" t="s">
        <v>2668</v>
      </c>
      <c r="E968" s="379" t="s">
        <v>2669</v>
      </c>
      <c r="F968" s="281" t="s">
        <v>2670</v>
      </c>
      <c r="K968" s="142"/>
    </row>
    <row r="969" spans="3:13" ht="24">
      <c r="C969" s="20">
        <v>964</v>
      </c>
      <c r="D969" s="279" t="s">
        <v>2671</v>
      </c>
      <c r="E969" s="279" t="s">
        <v>2672</v>
      </c>
      <c r="F969" s="279" t="s">
        <v>2673</v>
      </c>
      <c r="K969" s="142"/>
    </row>
    <row r="970" spans="3:13">
      <c r="C970" s="20">
        <v>965</v>
      </c>
      <c r="D970" s="282"/>
      <c r="E970" s="7"/>
      <c r="F970" s="281"/>
      <c r="K970" s="142"/>
    </row>
    <row r="971" spans="3:13">
      <c r="C971" s="20">
        <v>966</v>
      </c>
      <c r="D971" s="381"/>
      <c r="E971" s="379"/>
      <c r="F971" s="381"/>
      <c r="K971" s="142"/>
    </row>
    <row r="972" spans="3:13">
      <c r="C972" s="20">
        <v>967</v>
      </c>
      <c r="D972" s="381"/>
      <c r="E972" s="379"/>
      <c r="F972" s="381"/>
      <c r="K972" s="142"/>
    </row>
    <row r="973" spans="3:13">
      <c r="C973" s="20">
        <v>968</v>
      </c>
      <c r="D973" s="514" t="s">
        <v>2674</v>
      </c>
      <c r="E973" s="515"/>
      <c r="F973" s="382"/>
      <c r="K973" s="142"/>
    </row>
    <row r="974" spans="3:13" ht="22.5">
      <c r="C974" s="20">
        <v>969</v>
      </c>
      <c r="D974" s="113" t="s">
        <v>2675</v>
      </c>
      <c r="E974" s="113" t="s">
        <v>2675</v>
      </c>
      <c r="F974" s="113" t="s">
        <v>2675</v>
      </c>
      <c r="G974" s="182"/>
      <c r="H974" s="182"/>
      <c r="I974" s="182"/>
      <c r="J974" s="182"/>
      <c r="K974" s="182"/>
      <c r="L974" s="182"/>
      <c r="M974" s="182"/>
    </row>
    <row r="975" spans="3:13">
      <c r="C975" s="20">
        <v>970</v>
      </c>
      <c r="D975" s="53" t="s">
        <v>2676</v>
      </c>
      <c r="E975" s="53" t="s">
        <v>2677</v>
      </c>
      <c r="F975" s="53" t="s">
        <v>2678</v>
      </c>
      <c r="G975" s="182"/>
      <c r="H975" s="182"/>
      <c r="I975" s="182"/>
      <c r="J975" s="182"/>
      <c r="K975" s="182"/>
      <c r="L975" s="182"/>
      <c r="M975" s="182"/>
    </row>
    <row r="976" spans="3:13" ht="31.5" customHeight="1">
      <c r="C976" s="20">
        <v>971</v>
      </c>
      <c r="D976" s="383" t="s">
        <v>2679</v>
      </c>
      <c r="E976" s="383" t="s">
        <v>2680</v>
      </c>
      <c r="F976" s="383" t="s">
        <v>2681</v>
      </c>
      <c r="G976" s="182"/>
      <c r="H976" s="182"/>
      <c r="I976" s="182"/>
      <c r="J976" s="182"/>
      <c r="K976" s="182"/>
      <c r="L976" s="182"/>
      <c r="M976" s="182"/>
    </row>
    <row r="977" spans="3:13" ht="27.75" customHeight="1">
      <c r="C977" s="20">
        <v>972</v>
      </c>
      <c r="D977" s="383" t="s">
        <v>2682</v>
      </c>
      <c r="E977" s="383" t="s">
        <v>2683</v>
      </c>
      <c r="F977" s="383" t="s">
        <v>2684</v>
      </c>
      <c r="G977" s="182"/>
      <c r="H977" s="182"/>
      <c r="I977" s="182"/>
      <c r="J977" s="182"/>
      <c r="K977" s="182"/>
      <c r="L977" s="182"/>
      <c r="M977" s="182"/>
    </row>
    <row r="978" spans="3:13" ht="25.5">
      <c r="C978" s="20">
        <v>973</v>
      </c>
      <c r="D978" s="383" t="s">
        <v>2685</v>
      </c>
      <c r="E978" s="383" t="s">
        <v>2686</v>
      </c>
      <c r="F978" s="248" t="s">
        <v>2687</v>
      </c>
      <c r="K978" s="142"/>
    </row>
    <row r="979" spans="3:13" ht="25.5">
      <c r="C979" s="20">
        <v>974</v>
      </c>
      <c r="D979" s="383" t="s">
        <v>2688</v>
      </c>
      <c r="E979" s="383" t="s">
        <v>2689</v>
      </c>
      <c r="F979" s="383" t="s">
        <v>2690</v>
      </c>
      <c r="K979" s="142"/>
    </row>
    <row r="980" spans="3:13" ht="38.25">
      <c r="C980" s="20">
        <v>975</v>
      </c>
      <c r="D980" s="383" t="s">
        <v>2691</v>
      </c>
      <c r="E980" s="383" t="s">
        <v>2692</v>
      </c>
      <c r="F980" s="248" t="s">
        <v>2693</v>
      </c>
      <c r="K980" s="142"/>
    </row>
    <row r="981" spans="3:13" ht="51">
      <c r="C981" s="20">
        <v>976</v>
      </c>
      <c r="D981" s="372" t="s">
        <v>2694</v>
      </c>
      <c r="E981" s="383" t="s">
        <v>2695</v>
      </c>
      <c r="F981" s="383" t="s">
        <v>2696</v>
      </c>
      <c r="K981" s="142"/>
    </row>
    <row r="982" spans="3:13">
      <c r="C982" s="20">
        <v>977</v>
      </c>
      <c r="D982" s="53"/>
      <c r="E982" s="383"/>
      <c r="F982" s="53"/>
      <c r="K982" s="142"/>
    </row>
    <row r="983" spans="3:13">
      <c r="C983" s="20">
        <v>978</v>
      </c>
      <c r="D983" s="372" t="s">
        <v>2697</v>
      </c>
      <c r="E983" s="383" t="s">
        <v>2698</v>
      </c>
      <c r="F983" s="372" t="s">
        <v>2699</v>
      </c>
      <c r="K983" s="142"/>
    </row>
    <row r="984" spans="3:13">
      <c r="C984" s="20">
        <v>979</v>
      </c>
      <c r="D984" s="372" t="s">
        <v>2700</v>
      </c>
      <c r="E984" s="383" t="s">
        <v>2701</v>
      </c>
      <c r="F984" s="372" t="s">
        <v>2702</v>
      </c>
      <c r="K984" s="142"/>
    </row>
    <row r="985" spans="3:13">
      <c r="C985" s="20">
        <v>980</v>
      </c>
      <c r="D985" s="372" t="s">
        <v>2703</v>
      </c>
      <c r="E985" s="383" t="s">
        <v>2704</v>
      </c>
      <c r="F985" s="53" t="s">
        <v>2705</v>
      </c>
      <c r="K985" s="142"/>
    </row>
    <row r="986" spans="3:13">
      <c r="C986" s="20">
        <v>981</v>
      </c>
      <c r="D986" s="372" t="s">
        <v>2706</v>
      </c>
      <c r="E986" s="383" t="s">
        <v>2707</v>
      </c>
      <c r="F986" s="372" t="s">
        <v>2708</v>
      </c>
      <c r="K986" s="142"/>
    </row>
    <row r="987" spans="3:13">
      <c r="C987" s="20">
        <v>982</v>
      </c>
      <c r="D987" s="372" t="s">
        <v>2703</v>
      </c>
      <c r="E987" s="383" t="s">
        <v>2704</v>
      </c>
      <c r="F987" s="53" t="s">
        <v>2705</v>
      </c>
      <c r="K987" s="142"/>
    </row>
    <row r="988" spans="3:13">
      <c r="C988" s="20">
        <v>983</v>
      </c>
      <c r="D988" s="372" t="s">
        <v>2706</v>
      </c>
      <c r="E988" s="383" t="s">
        <v>2707</v>
      </c>
      <c r="F988" s="372" t="s">
        <v>2708</v>
      </c>
      <c r="K988" s="142"/>
    </row>
    <row r="989" spans="3:13">
      <c r="C989" s="20">
        <v>984</v>
      </c>
      <c r="D989" s="53"/>
      <c r="E989" s="383"/>
      <c r="F989" s="53"/>
      <c r="K989" s="142"/>
    </row>
    <row r="990" spans="3:13" ht="25.5">
      <c r="C990" s="20">
        <v>985</v>
      </c>
      <c r="D990" s="372" t="s">
        <v>2709</v>
      </c>
      <c r="E990" s="383" t="s">
        <v>2710</v>
      </c>
      <c r="F990" s="372" t="s">
        <v>2711</v>
      </c>
      <c r="K990" s="142"/>
    </row>
    <row r="991" spans="3:13" ht="25.5">
      <c r="C991" s="20">
        <v>986</v>
      </c>
      <c r="D991" s="372" t="s">
        <v>2712</v>
      </c>
      <c r="E991" s="383" t="s">
        <v>2713</v>
      </c>
      <c r="F991" s="372" t="s">
        <v>2714</v>
      </c>
      <c r="K991" s="142"/>
    </row>
    <row r="992" spans="3:13" ht="25.5">
      <c r="C992" s="20">
        <v>987</v>
      </c>
      <c r="D992" s="372" t="s">
        <v>2715</v>
      </c>
      <c r="E992" s="383" t="s">
        <v>2716</v>
      </c>
      <c r="F992" s="372" t="s">
        <v>2717</v>
      </c>
      <c r="K992" s="142"/>
    </row>
    <row r="993" spans="3:11" ht="25.5">
      <c r="C993" s="20">
        <v>988</v>
      </c>
      <c r="D993" s="372" t="s">
        <v>2718</v>
      </c>
      <c r="E993" s="383" t="s">
        <v>2719</v>
      </c>
      <c r="F993" s="372" t="s">
        <v>2720</v>
      </c>
      <c r="K993" s="142"/>
    </row>
    <row r="994" spans="3:11" ht="25.5">
      <c r="C994" s="20">
        <v>989</v>
      </c>
      <c r="D994" s="372" t="s">
        <v>2721</v>
      </c>
      <c r="E994" s="383" t="s">
        <v>2722</v>
      </c>
      <c r="F994" s="372" t="s">
        <v>2723</v>
      </c>
      <c r="K994" s="142"/>
    </row>
    <row r="995" spans="3:11" ht="25.5">
      <c r="C995" s="20">
        <v>990</v>
      </c>
      <c r="D995" s="372" t="s">
        <v>2724</v>
      </c>
      <c r="E995" s="383" t="s">
        <v>2725</v>
      </c>
      <c r="F995" s="372" t="s">
        <v>2726</v>
      </c>
      <c r="K995" s="142"/>
    </row>
    <row r="996" spans="3:11" ht="25.5">
      <c r="C996" s="20">
        <v>991</v>
      </c>
      <c r="D996" s="372" t="s">
        <v>2727</v>
      </c>
      <c r="E996" s="383" t="s">
        <v>2728</v>
      </c>
      <c r="F996" s="372" t="s">
        <v>2729</v>
      </c>
      <c r="K996" s="142"/>
    </row>
    <row r="997" spans="3:11" ht="25.5">
      <c r="C997" s="20">
        <v>992</v>
      </c>
      <c r="D997" s="372" t="s">
        <v>2730</v>
      </c>
      <c r="E997" s="383" t="s">
        <v>2731</v>
      </c>
      <c r="F997" s="372" t="s">
        <v>2732</v>
      </c>
      <c r="K997" s="142"/>
    </row>
    <row r="998" spans="3:11">
      <c r="C998" s="20">
        <v>993</v>
      </c>
      <c r="D998" s="372"/>
      <c r="E998" s="383"/>
      <c r="F998" s="372"/>
      <c r="K998" s="142"/>
    </row>
    <row r="999" spans="3:11" ht="89.25">
      <c r="C999" s="20">
        <v>994</v>
      </c>
      <c r="D999" s="372" t="s">
        <v>2733</v>
      </c>
      <c r="E999" s="384" t="s">
        <v>2734</v>
      </c>
      <c r="F999" s="252" t="s">
        <v>2735</v>
      </c>
      <c r="K999" s="142"/>
    </row>
    <row r="1000" spans="3:11">
      <c r="C1000" s="20">
        <v>995</v>
      </c>
      <c r="D1000" s="64" t="s">
        <v>2736</v>
      </c>
      <c r="E1000" s="64" t="s">
        <v>2737</v>
      </c>
      <c r="F1000" s="383" t="s">
        <v>154</v>
      </c>
      <c r="K1000" s="142"/>
    </row>
    <row r="1001" spans="3:11" ht="51">
      <c r="C1001" s="20">
        <v>996</v>
      </c>
      <c r="D1001" s="372" t="s">
        <v>2738</v>
      </c>
      <c r="E1001" s="385" t="s">
        <v>2739</v>
      </c>
      <c r="F1001" s="248" t="s">
        <v>154</v>
      </c>
      <c r="K1001" s="142"/>
    </row>
    <row r="1002" spans="3:11" ht="25.5">
      <c r="C1002" s="20">
        <v>997</v>
      </c>
      <c r="D1002" s="372" t="s">
        <v>2740</v>
      </c>
      <c r="E1002" s="379" t="s">
        <v>2741</v>
      </c>
      <c r="F1002" s="383" t="s">
        <v>154</v>
      </c>
      <c r="K1002" s="142"/>
    </row>
    <row r="1003" spans="3:11">
      <c r="C1003" s="20">
        <v>998</v>
      </c>
      <c r="D1003" s="372"/>
      <c r="E1003" s="379"/>
      <c r="F1003" s="372"/>
      <c r="K1003" s="142"/>
    </row>
    <row r="1004" spans="3:11">
      <c r="C1004" s="20">
        <v>999</v>
      </c>
      <c r="D1004" s="53"/>
      <c r="E1004" s="7"/>
      <c r="F1004" s="53"/>
      <c r="K1004" s="142"/>
    </row>
    <row r="1005" spans="3:11">
      <c r="C1005" s="20">
        <v>1000</v>
      </c>
      <c r="D1005" s="372"/>
      <c r="E1005" s="379"/>
      <c r="F1005" s="372"/>
      <c r="K1005" s="142"/>
    </row>
    <row r="1006" spans="3:11">
      <c r="C1006" s="20">
        <v>1001</v>
      </c>
      <c r="D1006" s="53" t="s">
        <v>2742</v>
      </c>
      <c r="E1006" s="7" t="s">
        <v>2743</v>
      </c>
      <c r="F1006" s="53" t="s">
        <v>2744</v>
      </c>
      <c r="K1006" s="142"/>
    </row>
    <row r="1007" spans="3:11">
      <c r="C1007" s="20">
        <v>1002</v>
      </c>
      <c r="D1007" s="372"/>
      <c r="E1007" s="379"/>
      <c r="F1007" s="372"/>
      <c r="K1007" s="142"/>
    </row>
    <row r="1008" spans="3:11">
      <c r="C1008" s="20">
        <v>1003</v>
      </c>
      <c r="D1008" s="53" t="s">
        <v>2745</v>
      </c>
      <c r="E1008" s="7" t="s">
        <v>1979</v>
      </c>
      <c r="F1008" s="53" t="s">
        <v>2746</v>
      </c>
      <c r="K1008" s="142"/>
    </row>
    <row r="1009" spans="3:11">
      <c r="C1009" s="20">
        <v>1004</v>
      </c>
      <c r="D1009" s="372"/>
      <c r="E1009" s="379"/>
      <c r="F1009" s="372"/>
      <c r="K1009" s="142"/>
    </row>
    <row r="1010" spans="3:11">
      <c r="C1010" s="20">
        <v>1005</v>
      </c>
      <c r="D1010" s="53" t="s">
        <v>2747</v>
      </c>
      <c r="E1010" s="7" t="s">
        <v>2748</v>
      </c>
      <c r="F1010" s="53" t="s">
        <v>2749</v>
      </c>
      <c r="K1010" s="142"/>
    </row>
    <row r="1011" spans="3:11">
      <c r="C1011" s="20">
        <v>1006</v>
      </c>
      <c r="D1011" s="372"/>
      <c r="E1011" s="379"/>
      <c r="F1011" s="372"/>
      <c r="K1011" s="142"/>
    </row>
    <row r="1012" spans="3:11">
      <c r="C1012" s="20">
        <v>1007</v>
      </c>
      <c r="D1012" s="53"/>
      <c r="E1012" s="21"/>
      <c r="F1012" s="53"/>
      <c r="K1012" s="142"/>
    </row>
    <row r="1013" spans="3:11">
      <c r="C1013" s="20">
        <v>1008</v>
      </c>
      <c r="D1013" s="372"/>
      <c r="E1013" s="379"/>
      <c r="F1013" s="372"/>
      <c r="K1013" s="142"/>
    </row>
    <row r="1014" spans="3:11">
      <c r="C1014" s="20">
        <v>1009</v>
      </c>
      <c r="D1014" s="53"/>
      <c r="E1014" s="7"/>
      <c r="F1014" s="53"/>
      <c r="K1014" s="142"/>
    </row>
    <row r="1015" spans="3:11">
      <c r="C1015" s="20">
        <v>1010</v>
      </c>
      <c r="D1015" s="372"/>
      <c r="E1015" s="379"/>
      <c r="F1015" s="372"/>
      <c r="K1015" s="142"/>
    </row>
    <row r="1016" spans="3:11">
      <c r="C1016" s="20">
        <v>1011</v>
      </c>
      <c r="D1016" s="53"/>
      <c r="E1016" s="21"/>
      <c r="F1016" s="53"/>
      <c r="K1016" s="142"/>
    </row>
    <row r="1017" spans="3:11">
      <c r="C1017" s="20">
        <v>1012</v>
      </c>
      <c r="D1017" s="372"/>
      <c r="E1017" s="386"/>
      <c r="F1017" s="372"/>
      <c r="K1017" s="142"/>
    </row>
    <row r="1018" spans="3:11">
      <c r="C1018" s="20">
        <v>1013</v>
      </c>
      <c r="D1018" s="53"/>
      <c r="E1018" s="7"/>
      <c r="F1018" s="53"/>
      <c r="K1018" s="142"/>
    </row>
    <row r="1019" spans="3:11">
      <c r="C1019" s="20">
        <v>1014</v>
      </c>
      <c r="D1019" s="372"/>
      <c r="E1019" s="379"/>
      <c r="F1019" s="372"/>
      <c r="K1019" s="142"/>
    </row>
    <row r="1020" spans="3:11">
      <c r="C1020" s="20">
        <v>1015</v>
      </c>
      <c r="D1020" s="372"/>
      <c r="E1020" s="379"/>
      <c r="F1020" s="372"/>
      <c r="K1020" s="142"/>
    </row>
    <row r="1021" spans="3:11">
      <c r="C1021" s="20">
        <v>1016</v>
      </c>
      <c r="D1021" s="372"/>
      <c r="E1021" s="379"/>
      <c r="F1021" s="372"/>
      <c r="K1021" s="142"/>
    </row>
    <row r="1022" spans="3:11">
      <c r="C1022" s="20">
        <v>1017</v>
      </c>
      <c r="D1022" s="372"/>
      <c r="E1022" s="379"/>
      <c r="F1022" s="372"/>
      <c r="K1022" s="142"/>
    </row>
    <row r="1023" spans="3:11">
      <c r="C1023" s="20">
        <v>1018</v>
      </c>
      <c r="D1023" s="372"/>
      <c r="E1023" s="379"/>
      <c r="F1023" s="372"/>
      <c r="K1023" s="142"/>
    </row>
    <row r="1024" spans="3:11">
      <c r="C1024" s="20">
        <v>1019</v>
      </c>
      <c r="D1024" s="372"/>
      <c r="E1024" s="379"/>
      <c r="F1024" s="372"/>
      <c r="K1024" s="142"/>
    </row>
    <row r="1025" spans="3:11">
      <c r="C1025" s="20">
        <v>1020</v>
      </c>
      <c r="D1025" s="372"/>
      <c r="E1025" s="379"/>
      <c r="F1025" s="372"/>
      <c r="K1025" s="142"/>
    </row>
    <row r="1026" spans="3:11">
      <c r="C1026" s="20">
        <v>1021</v>
      </c>
      <c r="D1026" s="372"/>
      <c r="E1026" s="379"/>
      <c r="F1026" s="372"/>
      <c r="K1026" s="142"/>
    </row>
    <row r="1027" spans="3:11">
      <c r="C1027" s="20">
        <v>1022</v>
      </c>
      <c r="D1027" s="372"/>
      <c r="E1027" s="379"/>
      <c r="F1027" s="372"/>
      <c r="K1027" s="142"/>
    </row>
    <row r="1028" spans="3:11">
      <c r="C1028" s="20">
        <v>1023</v>
      </c>
      <c r="D1028" s="387"/>
      <c r="E1028" s="388"/>
      <c r="F1028" s="389"/>
      <c r="K1028" s="142"/>
    </row>
    <row r="1029" spans="3:11">
      <c r="C1029" s="20">
        <v>1024</v>
      </c>
      <c r="D1029" s="387"/>
      <c r="E1029" s="388"/>
      <c r="F1029" s="389"/>
      <c r="K1029" s="142"/>
    </row>
    <row r="1030" spans="3:11">
      <c r="C1030" s="20">
        <v>1025</v>
      </c>
      <c r="D1030" s="387"/>
      <c r="E1030" s="388"/>
      <c r="F1030" s="389"/>
      <c r="K1030" s="142"/>
    </row>
    <row r="1031" spans="3:11">
      <c r="C1031" s="20">
        <v>1026</v>
      </c>
      <c r="D1031" s="387"/>
      <c r="E1031" s="388"/>
      <c r="F1031" s="389"/>
      <c r="K1031" s="142"/>
    </row>
    <row r="1032" spans="3:11">
      <c r="C1032" s="20">
        <v>1027</v>
      </c>
      <c r="D1032" s="387"/>
      <c r="E1032" s="21"/>
      <c r="F1032" s="53"/>
      <c r="K1032" s="142"/>
    </row>
    <row r="1033" spans="3:11">
      <c r="C1033" s="20">
        <v>1028</v>
      </c>
      <c r="D1033" s="387"/>
      <c r="E1033" s="379"/>
      <c r="F1033" s="372"/>
      <c r="K1033" s="142"/>
    </row>
    <row r="1034" spans="3:11">
      <c r="C1034" s="20">
        <v>1029</v>
      </c>
      <c r="D1034" s="387"/>
      <c r="E1034" s="379"/>
      <c r="F1034" s="372"/>
      <c r="K1034" s="142"/>
    </row>
    <row r="1035" spans="3:11">
      <c r="C1035" s="20">
        <v>1030</v>
      </c>
      <c r="D1035" s="53"/>
      <c r="E1035" s="7"/>
      <c r="F1035" s="53"/>
      <c r="K1035" s="142"/>
    </row>
    <row r="1036" spans="3:11">
      <c r="C1036" s="20">
        <v>1031</v>
      </c>
      <c r="D1036" s="372"/>
      <c r="E1036" s="379"/>
      <c r="F1036" s="372"/>
      <c r="K1036" s="142"/>
    </row>
    <row r="1037" spans="3:11" ht="12.75" customHeight="1">
      <c r="C1037" s="20">
        <v>1032</v>
      </c>
      <c r="D1037" s="1"/>
      <c r="E1037" s="7"/>
      <c r="F1037" s="15"/>
      <c r="K1037" s="142"/>
    </row>
    <row r="1038" spans="3:11">
      <c r="C1038" s="20">
        <v>1033</v>
      </c>
      <c r="D1038" s="372"/>
      <c r="E1038" s="379"/>
      <c r="F1038" s="372"/>
      <c r="K1038" s="142"/>
    </row>
    <row r="1039" spans="3:11">
      <c r="C1039" s="20">
        <v>1034</v>
      </c>
      <c r="D1039" s="53"/>
      <c r="E1039" s="7"/>
      <c r="F1039" s="53"/>
      <c r="K1039" s="142"/>
    </row>
    <row r="1040" spans="3:11">
      <c r="C1040" s="20">
        <v>1035</v>
      </c>
      <c r="D1040" s="372"/>
      <c r="E1040" s="379"/>
      <c r="F1040" s="372"/>
      <c r="K1040" s="142"/>
    </row>
    <row r="1041" spans="3:11">
      <c r="C1041" s="20">
        <v>1036</v>
      </c>
      <c r="D1041" s="372"/>
      <c r="E1041" s="7"/>
      <c r="F1041" s="53"/>
      <c r="K1041" s="142"/>
    </row>
    <row r="1042" spans="3:11">
      <c r="C1042" s="20">
        <v>1037</v>
      </c>
      <c r="D1042" s="372"/>
      <c r="E1042" s="379"/>
      <c r="F1042" s="372"/>
      <c r="K1042" s="142"/>
    </row>
    <row r="1043" spans="3:11">
      <c r="C1043" s="20">
        <v>1038</v>
      </c>
      <c r="D1043" s="372"/>
      <c r="E1043" s="7"/>
      <c r="F1043" s="53"/>
      <c r="K1043" s="142"/>
    </row>
    <row r="1044" spans="3:11">
      <c r="C1044" s="20">
        <v>1039</v>
      </c>
      <c r="D1044" s="372"/>
      <c r="E1044" s="379"/>
      <c r="F1044" s="372"/>
      <c r="K1044" s="142"/>
    </row>
    <row r="1045" spans="3:11">
      <c r="C1045" s="20">
        <v>1040</v>
      </c>
      <c r="D1045" s="372"/>
      <c r="E1045" s="1"/>
      <c r="F1045" s="53"/>
      <c r="K1045" s="142"/>
    </row>
    <row r="1046" spans="3:11">
      <c r="C1046" s="20">
        <v>1041</v>
      </c>
      <c r="D1046" s="372"/>
      <c r="E1046" s="386"/>
      <c r="F1046" s="372"/>
      <c r="K1046" s="142"/>
    </row>
    <row r="1047" spans="3:11">
      <c r="C1047" s="20">
        <v>1042</v>
      </c>
      <c r="D1047" s="53"/>
      <c r="E1047" s="21"/>
      <c r="F1047" s="53"/>
      <c r="K1047" s="142"/>
    </row>
    <row r="1048" spans="3:11">
      <c r="C1048" s="20">
        <v>1043</v>
      </c>
      <c r="D1048" s="372"/>
      <c r="E1048" s="379"/>
      <c r="F1048" s="372"/>
      <c r="K1048" s="142"/>
    </row>
    <row r="1049" spans="3:11">
      <c r="C1049" s="20">
        <v>1044</v>
      </c>
      <c r="D1049" s="53"/>
      <c r="E1049" s="21"/>
      <c r="F1049" s="249"/>
      <c r="K1049" s="142"/>
    </row>
    <row r="1050" spans="3:11">
      <c r="C1050" s="20">
        <v>1045</v>
      </c>
      <c r="D1050" s="372"/>
      <c r="E1050" s="379"/>
      <c r="F1050" s="372"/>
      <c r="K1050" s="142"/>
    </row>
    <row r="1051" spans="3:11">
      <c r="C1051" s="20">
        <v>1046</v>
      </c>
      <c r="D1051" s="53"/>
      <c r="E1051" s="7"/>
      <c r="F1051" s="53"/>
      <c r="K1051" s="142"/>
    </row>
    <row r="1052" spans="3:11">
      <c r="C1052" s="20">
        <v>1047</v>
      </c>
      <c r="D1052" s="372"/>
      <c r="E1052" s="379"/>
      <c r="F1052" s="372"/>
      <c r="K1052" s="142"/>
    </row>
    <row r="1053" spans="3:11">
      <c r="C1053" s="20">
        <v>1048</v>
      </c>
      <c r="D1053" s="53"/>
      <c r="E1053" s="21"/>
      <c r="F1053" s="53"/>
      <c r="K1053" s="142"/>
    </row>
    <row r="1054" spans="3:11">
      <c r="C1054" s="20">
        <v>1049</v>
      </c>
      <c r="D1054" s="372"/>
      <c r="E1054" s="379"/>
      <c r="F1054" s="372"/>
      <c r="K1054" s="142"/>
    </row>
    <row r="1055" spans="3:11">
      <c r="C1055" s="20">
        <v>1050</v>
      </c>
      <c r="D1055" s="53"/>
      <c r="E1055" s="7"/>
      <c r="F1055" s="53"/>
      <c r="K1055" s="142"/>
    </row>
    <row r="1056" spans="3:11">
      <c r="C1056" s="20">
        <v>1051</v>
      </c>
      <c r="D1056" s="372"/>
      <c r="E1056" s="379"/>
      <c r="F1056" s="372"/>
      <c r="K1056" s="142"/>
    </row>
    <row r="1057" spans="3:11">
      <c r="C1057" s="20">
        <v>1052</v>
      </c>
      <c r="D1057" s="53"/>
      <c r="E1057" s="7"/>
      <c r="F1057" s="53"/>
      <c r="K1057" s="142"/>
    </row>
    <row r="1058" spans="3:11">
      <c r="C1058" s="20">
        <v>1053</v>
      </c>
      <c r="D1058" s="372"/>
      <c r="E1058" s="379"/>
      <c r="F1058" s="372"/>
      <c r="K1058" s="142"/>
    </row>
    <row r="1059" spans="3:11">
      <c r="C1059" s="20">
        <v>1054</v>
      </c>
      <c r="D1059" s="53"/>
      <c r="E1059" s="7"/>
      <c r="F1059" s="53"/>
      <c r="K1059" s="142"/>
    </row>
    <row r="1060" spans="3:11">
      <c r="C1060" s="20">
        <v>1055</v>
      </c>
      <c r="D1060" s="372"/>
      <c r="E1060" s="379"/>
      <c r="F1060" s="372"/>
      <c r="K1060" s="142"/>
    </row>
    <row r="1061" spans="3:11">
      <c r="C1061" s="20">
        <v>1056</v>
      </c>
      <c r="D1061" s="53"/>
      <c r="E1061" s="21"/>
      <c r="F1061" s="53"/>
      <c r="K1061" s="142"/>
    </row>
    <row r="1062" spans="3:11">
      <c r="C1062" s="20">
        <v>1057</v>
      </c>
      <c r="D1062" s="372"/>
      <c r="E1062" s="379"/>
      <c r="F1062" s="372"/>
      <c r="K1062" s="142"/>
    </row>
    <row r="1063" spans="3:11">
      <c r="C1063" s="20">
        <v>1058</v>
      </c>
      <c r="D1063" s="53"/>
      <c r="E1063" s="7"/>
      <c r="F1063" s="53"/>
      <c r="K1063" s="142"/>
    </row>
    <row r="1064" spans="3:11">
      <c r="C1064" s="20">
        <v>1059</v>
      </c>
      <c r="D1064" s="372"/>
      <c r="E1064" s="379"/>
      <c r="F1064" s="372"/>
      <c r="K1064" s="142"/>
    </row>
    <row r="1065" spans="3:11">
      <c r="C1065" s="20">
        <v>1060</v>
      </c>
      <c r="D1065" s="53"/>
      <c r="E1065" s="7"/>
      <c r="F1065" s="53"/>
      <c r="K1065" s="142"/>
    </row>
    <row r="1066" spans="3:11">
      <c r="C1066" s="20">
        <v>1061</v>
      </c>
      <c r="D1066" s="372"/>
      <c r="E1066" s="379"/>
      <c r="F1066" s="372"/>
      <c r="K1066" s="142"/>
    </row>
    <row r="1067" spans="3:11">
      <c r="C1067" s="20">
        <v>1062</v>
      </c>
      <c r="D1067" s="53"/>
      <c r="E1067" s="7"/>
      <c r="F1067" s="53"/>
      <c r="K1067" s="142"/>
    </row>
    <row r="1068" spans="3:11">
      <c r="C1068" s="20">
        <v>1063</v>
      </c>
      <c r="D1068" s="372"/>
      <c r="E1068" s="379"/>
      <c r="F1068" s="372"/>
      <c r="K1068" s="142"/>
    </row>
    <row r="1069" spans="3:11">
      <c r="C1069" s="20">
        <v>1064</v>
      </c>
      <c r="D1069" s="372"/>
      <c r="E1069" s="379"/>
      <c r="F1069" s="372"/>
      <c r="K1069" s="142"/>
    </row>
    <row r="1070" spans="3:11">
      <c r="C1070" s="20">
        <v>1065</v>
      </c>
      <c r="D1070" s="372"/>
      <c r="E1070" s="379"/>
      <c r="F1070" s="372"/>
      <c r="K1070" s="142"/>
    </row>
    <row r="1071" spans="3:11">
      <c r="C1071" s="20">
        <v>1066</v>
      </c>
      <c r="D1071" s="53"/>
      <c r="E1071" s="7"/>
      <c r="F1071" s="53"/>
      <c r="K1071" s="142"/>
    </row>
    <row r="1072" spans="3:11">
      <c r="C1072" s="20">
        <v>1067</v>
      </c>
      <c r="D1072" s="372"/>
      <c r="E1072" s="379"/>
      <c r="F1072" s="372"/>
      <c r="K1072" s="142"/>
    </row>
    <row r="1073" spans="3:11">
      <c r="C1073" s="20">
        <v>1068</v>
      </c>
      <c r="D1073" s="53"/>
      <c r="E1073" s="7"/>
      <c r="F1073" s="53"/>
      <c r="K1073" s="142"/>
    </row>
    <row r="1074" spans="3:11">
      <c r="C1074" s="20">
        <v>1069</v>
      </c>
      <c r="D1074" s="372"/>
      <c r="E1074" s="379"/>
      <c r="F1074" s="372"/>
      <c r="K1074" s="142"/>
    </row>
    <row r="1075" spans="3:11">
      <c r="C1075" s="20">
        <v>1070</v>
      </c>
      <c r="D1075" s="372"/>
      <c r="E1075" s="7"/>
      <c r="F1075" s="53"/>
      <c r="K1075" s="142"/>
    </row>
    <row r="1076" spans="3:11">
      <c r="C1076" s="20">
        <v>1071</v>
      </c>
      <c r="D1076" s="372"/>
      <c r="E1076" s="379"/>
      <c r="F1076" s="372"/>
      <c r="K1076" s="142"/>
    </row>
    <row r="1077" spans="3:11">
      <c r="C1077" s="20">
        <v>1072</v>
      </c>
      <c r="D1077" s="372"/>
      <c r="E1077" s="7"/>
      <c r="F1077" s="53"/>
      <c r="K1077" s="142"/>
    </row>
    <row r="1078" spans="3:11">
      <c r="C1078" s="20">
        <v>1073</v>
      </c>
      <c r="D1078" s="372"/>
      <c r="E1078" s="379"/>
      <c r="F1078" s="372"/>
      <c r="K1078" s="142"/>
    </row>
    <row r="1079" spans="3:11">
      <c r="C1079" s="20">
        <v>1074</v>
      </c>
      <c r="D1079" s="53"/>
      <c r="E1079" s="7"/>
      <c r="F1079" s="53"/>
      <c r="K1079" s="142"/>
    </row>
    <row r="1080" spans="3:11">
      <c r="C1080" s="20">
        <v>1075</v>
      </c>
      <c r="D1080" s="372"/>
      <c r="E1080" s="379"/>
      <c r="F1080" s="372"/>
      <c r="K1080" s="142"/>
    </row>
    <row r="1081" spans="3:11">
      <c r="C1081" s="20">
        <v>1076</v>
      </c>
      <c r="D1081" s="53"/>
      <c r="E1081" s="7"/>
      <c r="F1081" s="53"/>
      <c r="K1081" s="142"/>
    </row>
    <row r="1082" spans="3:11">
      <c r="C1082" s="20">
        <v>1077</v>
      </c>
      <c r="D1082" s="372"/>
      <c r="E1082" s="379"/>
      <c r="F1082" s="372"/>
      <c r="K1082" s="142"/>
    </row>
    <row r="1083" spans="3:11">
      <c r="C1083" s="20">
        <v>1078</v>
      </c>
      <c r="D1083" s="53"/>
      <c r="E1083" s="7"/>
      <c r="F1083" s="53"/>
      <c r="K1083" s="142"/>
    </row>
    <row r="1084" spans="3:11">
      <c r="C1084" s="20">
        <v>1079</v>
      </c>
      <c r="D1084" s="372"/>
      <c r="E1084" s="379"/>
      <c r="F1084" s="372"/>
      <c r="K1084" s="142"/>
    </row>
    <row r="1085" spans="3:11">
      <c r="C1085" s="20">
        <v>1080</v>
      </c>
      <c r="D1085" s="53" t="s">
        <v>2750</v>
      </c>
      <c r="E1085" s="7" t="s">
        <v>2751</v>
      </c>
      <c r="F1085" s="53" t="s">
        <v>2752</v>
      </c>
      <c r="K1085" s="142"/>
    </row>
    <row r="1086" spans="3:11">
      <c r="C1086" s="20">
        <v>1081</v>
      </c>
      <c r="D1086" s="372"/>
      <c r="E1086" s="379"/>
      <c r="F1086" s="372"/>
      <c r="K1086" s="142"/>
    </row>
    <row r="1087" spans="3:11">
      <c r="C1087" s="20">
        <v>1082</v>
      </c>
      <c r="D1087" s="53"/>
      <c r="E1087" s="7"/>
      <c r="F1087" s="53"/>
      <c r="K1087" s="142"/>
    </row>
    <row r="1088" spans="3:11">
      <c r="C1088" s="20">
        <v>1083</v>
      </c>
      <c r="D1088" s="372"/>
      <c r="E1088" s="379"/>
      <c r="F1088" s="372"/>
      <c r="K1088" s="142"/>
    </row>
    <row r="1089" spans="3:11">
      <c r="C1089" s="20">
        <v>1084</v>
      </c>
      <c r="D1089" s="53"/>
      <c r="E1089" s="7"/>
      <c r="F1089" s="53"/>
      <c r="K1089" s="142"/>
    </row>
    <row r="1090" spans="3:11">
      <c r="C1090" s="20">
        <v>1085</v>
      </c>
      <c r="D1090" s="372"/>
      <c r="E1090" s="379"/>
      <c r="F1090" s="372"/>
      <c r="K1090" s="142"/>
    </row>
    <row r="1091" spans="3:11">
      <c r="C1091" s="20">
        <v>1086</v>
      </c>
      <c r="D1091" s="53"/>
      <c r="E1091" s="7"/>
      <c r="F1091" s="53"/>
      <c r="K1091" s="142"/>
    </row>
    <row r="1092" spans="3:11">
      <c r="C1092" s="20">
        <v>1087</v>
      </c>
      <c r="D1092" s="372"/>
      <c r="E1092" s="379"/>
      <c r="F1092" s="372"/>
      <c r="K1092" s="142"/>
    </row>
    <row r="1093" spans="3:11">
      <c r="C1093" s="20">
        <v>1088</v>
      </c>
      <c r="D1093" s="53"/>
      <c r="E1093" s="7"/>
      <c r="F1093" s="53"/>
      <c r="K1093" s="142"/>
    </row>
    <row r="1094" spans="3:11">
      <c r="C1094" s="20">
        <v>1089</v>
      </c>
      <c r="D1094" s="372"/>
      <c r="E1094" s="379"/>
      <c r="F1094" s="372"/>
      <c r="K1094" s="142"/>
    </row>
    <row r="1095" spans="3:11">
      <c r="C1095" s="20">
        <v>1090</v>
      </c>
      <c r="D1095" s="53"/>
      <c r="E1095" s="7"/>
      <c r="F1095" s="53"/>
      <c r="K1095" s="142"/>
    </row>
    <row r="1096" spans="3:11">
      <c r="C1096" s="20">
        <v>1091</v>
      </c>
      <c r="D1096" s="372"/>
      <c r="E1096" s="379"/>
      <c r="F1096" s="372"/>
      <c r="K1096" s="142"/>
    </row>
    <row r="1097" spans="3:11">
      <c r="C1097" s="20">
        <v>1092</v>
      </c>
      <c r="D1097" s="53"/>
      <c r="E1097" s="7"/>
      <c r="F1097" s="53"/>
      <c r="K1097" s="142"/>
    </row>
    <row r="1098" spans="3:11">
      <c r="C1098" s="20">
        <v>1093</v>
      </c>
      <c r="D1098" s="372"/>
      <c r="E1098" s="379"/>
      <c r="F1098" s="372"/>
      <c r="K1098" s="142"/>
    </row>
    <row r="1099" spans="3:11">
      <c r="C1099" s="20">
        <v>1094</v>
      </c>
      <c r="D1099" s="53"/>
      <c r="E1099" s="1"/>
      <c r="F1099" s="53"/>
      <c r="K1099" s="142"/>
    </row>
    <row r="1100" spans="3:11">
      <c r="C1100" s="20">
        <v>1095</v>
      </c>
      <c r="D1100" s="372"/>
      <c r="E1100" s="379"/>
      <c r="F1100" s="372"/>
      <c r="K1100" s="142"/>
    </row>
    <row r="1101" spans="3:11">
      <c r="C1101" s="20">
        <v>1096</v>
      </c>
      <c r="D1101" s="53"/>
      <c r="E1101" s="7"/>
      <c r="F1101" s="53"/>
      <c r="K1101" s="142"/>
    </row>
    <row r="1102" spans="3:11">
      <c r="C1102" s="20">
        <v>1097</v>
      </c>
      <c r="D1102" s="372"/>
      <c r="E1102" s="379"/>
      <c r="F1102" s="372"/>
      <c r="K1102" s="142"/>
    </row>
    <row r="1103" spans="3:11" ht="12.75" customHeight="1">
      <c r="C1103" s="20">
        <v>1098</v>
      </c>
      <c r="D1103" s="53"/>
      <c r="E1103" s="7"/>
      <c r="F1103" s="53"/>
      <c r="K1103" s="142"/>
    </row>
    <row r="1104" spans="3:11" ht="87" customHeight="1">
      <c r="C1104" s="20">
        <v>1099</v>
      </c>
      <c r="D1104" s="372"/>
      <c r="E1104" s="379"/>
      <c r="F1104" s="372"/>
      <c r="K1104" s="142"/>
    </row>
    <row r="1105" spans="3:11">
      <c r="C1105" s="20">
        <v>1100</v>
      </c>
      <c r="D1105" s="53"/>
      <c r="E1105" s="7"/>
      <c r="F1105" s="53"/>
      <c r="K1105" s="142"/>
    </row>
    <row r="1106" spans="3:11">
      <c r="C1106" s="20">
        <v>1101</v>
      </c>
      <c r="D1106" s="372"/>
      <c r="E1106" s="379"/>
      <c r="F1106" s="372"/>
      <c r="K1106" s="142"/>
    </row>
    <row r="1107" spans="3:11">
      <c r="C1107" s="20">
        <v>1102</v>
      </c>
      <c r="D1107" s="53"/>
      <c r="E1107" s="7"/>
      <c r="F1107" s="53"/>
      <c r="K1107" s="142"/>
    </row>
    <row r="1108" spans="3:11">
      <c r="C1108" s="20">
        <v>1103</v>
      </c>
      <c r="D1108" s="372"/>
      <c r="E1108" s="379"/>
      <c r="F1108" s="372"/>
      <c r="K1108" s="142"/>
    </row>
    <row r="1109" spans="3:11">
      <c r="C1109" s="20">
        <v>1104</v>
      </c>
      <c r="D1109" s="53" t="s">
        <v>2753</v>
      </c>
      <c r="E1109" s="53" t="s">
        <v>2754</v>
      </c>
      <c r="F1109" s="53" t="s">
        <v>2755</v>
      </c>
      <c r="K1109" s="142"/>
    </row>
    <row r="1110" spans="3:11" ht="114.75">
      <c r="C1110" s="20">
        <v>1105</v>
      </c>
      <c r="D1110" s="383" t="s">
        <v>2756</v>
      </c>
      <c r="E1110" s="383" t="s">
        <v>2757</v>
      </c>
      <c r="F1110" s="383" t="s">
        <v>2758</v>
      </c>
      <c r="K1110" s="142"/>
    </row>
    <row r="1111" spans="3:11">
      <c r="C1111" s="20">
        <v>1106</v>
      </c>
      <c r="D1111" s="53" t="s">
        <v>2759</v>
      </c>
      <c r="E1111" s="7" t="s">
        <v>2760</v>
      </c>
      <c r="F1111" s="53" t="s">
        <v>2761</v>
      </c>
      <c r="K1111" s="142"/>
    </row>
    <row r="1112" spans="3:11" ht="178.5">
      <c r="C1112" s="20">
        <v>1107</v>
      </c>
      <c r="D1112" s="383" t="s">
        <v>2762</v>
      </c>
      <c r="E1112" s="333" t="s">
        <v>2763</v>
      </c>
      <c r="F1112" s="390" t="s">
        <v>2764</v>
      </c>
      <c r="K1112" s="142"/>
    </row>
    <row r="1113" spans="3:11" ht="13.5" thickBot="1">
      <c r="C1113" s="20">
        <v>1108</v>
      </c>
      <c r="D1113" s="391"/>
      <c r="E1113" s="55"/>
      <c r="F1113" s="391"/>
      <c r="H1113" s="173"/>
      <c r="I1113" s="173"/>
      <c r="J1113" s="173"/>
      <c r="K1113" s="174"/>
    </row>
    <row r="1114" spans="3:11" ht="13.5" thickBot="1">
      <c r="C1114" s="20">
        <v>1109</v>
      </c>
      <c r="D1114" s="55"/>
      <c r="E1114" s="55"/>
      <c r="F1114" s="55"/>
      <c r="K1114" s="142"/>
    </row>
    <row r="1115" spans="3:11" ht="12.75" customHeight="1">
      <c r="C1115" s="20">
        <v>1110</v>
      </c>
      <c r="D1115" s="54" t="s">
        <v>772</v>
      </c>
      <c r="E1115" s="3" t="s">
        <v>2765</v>
      </c>
      <c r="F1115" s="244" t="s">
        <v>2766</v>
      </c>
      <c r="K1115" s="142"/>
    </row>
    <row r="1116" spans="3:11" ht="12.75" customHeight="1">
      <c r="C1116" s="20">
        <v>1111</v>
      </c>
      <c r="D1116" s="175" t="s">
        <v>318</v>
      </c>
      <c r="E1116" s="184" t="s">
        <v>2767</v>
      </c>
      <c r="F1116" s="245" t="s">
        <v>318</v>
      </c>
      <c r="K1116" s="142"/>
    </row>
    <row r="1117" spans="3:11" ht="12.75" customHeight="1">
      <c r="C1117" s="20">
        <v>1112</v>
      </c>
      <c r="D1117" s="175" t="s">
        <v>49</v>
      </c>
      <c r="E1117" s="184" t="s">
        <v>2768</v>
      </c>
      <c r="F1117" s="245" t="s">
        <v>49</v>
      </c>
      <c r="K1117" s="142"/>
    </row>
    <row r="1118" spans="3:11" ht="12.75" customHeight="1">
      <c r="C1118" s="20">
        <v>1113</v>
      </c>
      <c r="D1118" s="175" t="s">
        <v>534</v>
      </c>
      <c r="E1118" s="184" t="s">
        <v>2769</v>
      </c>
      <c r="F1118" s="245" t="s">
        <v>2770</v>
      </c>
      <c r="K1118" s="142"/>
    </row>
    <row r="1119" spans="3:11" ht="12.75" customHeight="1">
      <c r="C1119" s="20">
        <v>1114</v>
      </c>
      <c r="D1119" s="175" t="s">
        <v>322</v>
      </c>
      <c r="E1119" s="184" t="s">
        <v>2771</v>
      </c>
      <c r="F1119" s="245" t="s">
        <v>2772</v>
      </c>
      <c r="K1119" s="142"/>
    </row>
    <row r="1120" spans="3:11" ht="12.75" customHeight="1">
      <c r="C1120" s="20">
        <v>1115</v>
      </c>
      <c r="D1120" s="175" t="s">
        <v>539</v>
      </c>
      <c r="E1120" s="184" t="s">
        <v>2773</v>
      </c>
      <c r="F1120" s="245" t="s">
        <v>2774</v>
      </c>
      <c r="K1120" s="142"/>
    </row>
    <row r="1121" spans="3:11" ht="12.75" customHeight="1">
      <c r="C1121" s="20">
        <v>1116</v>
      </c>
      <c r="D1121" s="175" t="s">
        <v>542</v>
      </c>
      <c r="E1121" s="184" t="s">
        <v>2775</v>
      </c>
      <c r="F1121" s="245" t="s">
        <v>2776</v>
      </c>
      <c r="K1121" s="142"/>
    </row>
    <row r="1122" spans="3:11" ht="12.75" customHeight="1">
      <c r="C1122" s="20">
        <v>1117</v>
      </c>
      <c r="D1122" s="175" t="s">
        <v>543</v>
      </c>
      <c r="E1122" s="184" t="s">
        <v>2777</v>
      </c>
      <c r="F1122" s="245" t="s">
        <v>2778</v>
      </c>
      <c r="K1122" s="142"/>
    </row>
    <row r="1123" spans="3:11" ht="12.75" customHeight="1">
      <c r="C1123" s="20">
        <v>1118</v>
      </c>
      <c r="D1123" s="175" t="s">
        <v>544</v>
      </c>
      <c r="E1123" s="184" t="s">
        <v>2779</v>
      </c>
      <c r="F1123" s="245" t="s">
        <v>2780</v>
      </c>
      <c r="K1123" s="142"/>
    </row>
    <row r="1124" spans="3:11" ht="12.75" customHeight="1">
      <c r="C1124" s="20">
        <v>1119</v>
      </c>
      <c r="D1124" s="175" t="s">
        <v>546</v>
      </c>
      <c r="E1124" s="184" t="s">
        <v>2781</v>
      </c>
      <c r="F1124" s="245" t="s">
        <v>2782</v>
      </c>
      <c r="K1124" s="142"/>
    </row>
    <row r="1125" spans="3:11" ht="12.75" customHeight="1">
      <c r="C1125" s="20">
        <v>1120</v>
      </c>
      <c r="D1125" s="175" t="s">
        <v>547</v>
      </c>
      <c r="E1125" s="184" t="s">
        <v>2783</v>
      </c>
      <c r="F1125" s="245" t="s">
        <v>2784</v>
      </c>
      <c r="K1125" s="142"/>
    </row>
    <row r="1126" spans="3:11" ht="12.75" customHeight="1">
      <c r="C1126" s="20">
        <v>1121</v>
      </c>
      <c r="D1126" s="175" t="s">
        <v>548</v>
      </c>
      <c r="E1126" s="184" t="s">
        <v>2785</v>
      </c>
      <c r="F1126" s="245" t="s">
        <v>2786</v>
      </c>
      <c r="K1126" s="142"/>
    </row>
    <row r="1127" spans="3:11" ht="12.75" customHeight="1">
      <c r="C1127" s="20">
        <v>1122</v>
      </c>
      <c r="D1127" s="175" t="s">
        <v>324</v>
      </c>
      <c r="E1127" s="184" t="s">
        <v>324</v>
      </c>
      <c r="F1127" s="245" t="s">
        <v>2787</v>
      </c>
      <c r="K1127" s="142"/>
    </row>
    <row r="1128" spans="3:11" ht="12.75" customHeight="1">
      <c r="C1128" s="20">
        <v>1123</v>
      </c>
      <c r="D1128" s="175" t="s">
        <v>545</v>
      </c>
      <c r="E1128" s="184" t="s">
        <v>2788</v>
      </c>
      <c r="F1128" s="245" t="s">
        <v>2789</v>
      </c>
      <c r="K1128" s="142"/>
    </row>
    <row r="1129" spans="3:11" ht="12.75" customHeight="1">
      <c r="C1129" s="20">
        <v>1124</v>
      </c>
      <c r="D1129" s="175" t="s">
        <v>562</v>
      </c>
      <c r="E1129" s="184" t="s">
        <v>2790</v>
      </c>
      <c r="F1129" s="245" t="s">
        <v>2791</v>
      </c>
      <c r="K1129" s="142"/>
    </row>
    <row r="1130" spans="3:11" ht="12.75" customHeight="1">
      <c r="C1130" s="20">
        <v>1125</v>
      </c>
      <c r="D1130" s="175" t="s">
        <v>553</v>
      </c>
      <c r="E1130" s="184" t="s">
        <v>2792</v>
      </c>
      <c r="F1130" s="245" t="s">
        <v>2793</v>
      </c>
      <c r="K1130" s="142"/>
    </row>
    <row r="1131" spans="3:11" ht="12.75" customHeight="1">
      <c r="C1131" s="20">
        <v>1126</v>
      </c>
      <c r="D1131" s="175" t="s">
        <v>554</v>
      </c>
      <c r="E1131" s="184" t="s">
        <v>554</v>
      </c>
      <c r="F1131" s="245" t="s">
        <v>554</v>
      </c>
      <c r="K1131" s="142"/>
    </row>
    <row r="1132" spans="3:11" ht="12.75" customHeight="1">
      <c r="C1132" s="20">
        <v>1127</v>
      </c>
      <c r="D1132" s="299" t="s">
        <v>541</v>
      </c>
      <c r="E1132" s="392" t="s">
        <v>2794</v>
      </c>
      <c r="F1132" s="299" t="s">
        <v>2795</v>
      </c>
      <c r="K1132" s="142"/>
    </row>
    <row r="1133" spans="3:11" ht="12.75" customHeight="1">
      <c r="C1133" s="20">
        <v>1128</v>
      </c>
      <c r="D1133" s="175" t="s">
        <v>558</v>
      </c>
      <c r="E1133" s="184" t="s">
        <v>2796</v>
      </c>
      <c r="F1133" s="245" t="s">
        <v>2797</v>
      </c>
      <c r="K1133" s="142"/>
    </row>
    <row r="1134" spans="3:11" ht="12.75" customHeight="1">
      <c r="C1134" s="20">
        <v>1129</v>
      </c>
      <c r="D1134" s="175" t="s">
        <v>559</v>
      </c>
      <c r="E1134" s="184" t="s">
        <v>2798</v>
      </c>
      <c r="F1134" s="245" t="s">
        <v>2799</v>
      </c>
      <c r="K1134" s="142"/>
    </row>
    <row r="1135" spans="3:11" ht="12.75" customHeight="1">
      <c r="C1135" s="20">
        <v>1130</v>
      </c>
      <c r="D1135" s="175" t="s">
        <v>316</v>
      </c>
      <c r="E1135" s="184" t="s">
        <v>2800</v>
      </c>
      <c r="F1135" s="245" t="s">
        <v>2801</v>
      </c>
      <c r="K1135" s="142"/>
    </row>
    <row r="1136" spans="3:11" ht="12.75" customHeight="1">
      <c r="C1136" s="20">
        <v>1131</v>
      </c>
      <c r="D1136" s="175" t="s">
        <v>1101</v>
      </c>
      <c r="E1136" s="184" t="s">
        <v>2802</v>
      </c>
      <c r="F1136" s="245" t="s">
        <v>2803</v>
      </c>
      <c r="K1136" s="142"/>
    </row>
    <row r="1137" spans="3:11" ht="12.75" customHeight="1">
      <c r="C1137" s="20">
        <v>1132</v>
      </c>
      <c r="D1137" s="299" t="s">
        <v>560</v>
      </c>
      <c r="E1137" s="324" t="s">
        <v>2804</v>
      </c>
      <c r="F1137" s="393" t="s">
        <v>2805</v>
      </c>
      <c r="K1137" s="142"/>
    </row>
    <row r="1138" spans="3:11" ht="12.75" customHeight="1">
      <c r="C1138" s="20">
        <v>1133</v>
      </c>
      <c r="D1138" s="299" t="s">
        <v>121</v>
      </c>
      <c r="E1138" s="324" t="s">
        <v>2806</v>
      </c>
      <c r="F1138" s="393" t="s">
        <v>1884</v>
      </c>
      <c r="K1138" s="142"/>
    </row>
    <row r="1139" spans="3:11" ht="12.75" customHeight="1">
      <c r="C1139" s="20">
        <v>1134</v>
      </c>
      <c r="D1139" s="276" t="s">
        <v>2807</v>
      </c>
      <c r="E1139" s="394" t="s">
        <v>2808</v>
      </c>
      <c r="F1139" s="395" t="s">
        <v>2809</v>
      </c>
      <c r="K1139" s="142"/>
    </row>
    <row r="1140" spans="3:11" ht="12.75" customHeight="1">
      <c r="C1140" s="20">
        <v>1135</v>
      </c>
      <c r="D1140" s="54" t="s">
        <v>2810</v>
      </c>
      <c r="E1140" s="3" t="s">
        <v>2811</v>
      </c>
      <c r="F1140" s="244" t="s">
        <v>2812</v>
      </c>
      <c r="K1140" s="142"/>
    </row>
    <row r="1141" spans="3:11" ht="12.75" customHeight="1">
      <c r="C1141" s="20">
        <v>1136</v>
      </c>
      <c r="D1141" s="175" t="s">
        <v>2813</v>
      </c>
      <c r="E1141" s="184" t="s">
        <v>2814</v>
      </c>
      <c r="F1141" s="245" t="s">
        <v>1841</v>
      </c>
      <c r="K1141" s="142"/>
    </row>
    <row r="1142" spans="3:11" ht="12.75" customHeight="1">
      <c r="C1142" s="20">
        <v>1137</v>
      </c>
      <c r="D1142" s="175" t="s">
        <v>2815</v>
      </c>
      <c r="E1142" s="184" t="s">
        <v>1843</v>
      </c>
      <c r="F1142" s="245" t="s">
        <v>1844</v>
      </c>
      <c r="K1142" s="142"/>
    </row>
    <row r="1143" spans="3:11" ht="12.75" customHeight="1">
      <c r="C1143" s="20">
        <v>1138</v>
      </c>
      <c r="D1143" s="175" t="s">
        <v>2816</v>
      </c>
      <c r="E1143" s="184" t="s">
        <v>2817</v>
      </c>
      <c r="F1143" s="245" t="s">
        <v>1847</v>
      </c>
      <c r="K1143" s="142"/>
    </row>
    <row r="1144" spans="3:11" ht="12.75" customHeight="1">
      <c r="C1144" s="20">
        <v>1139</v>
      </c>
      <c r="D1144" s="175" t="s">
        <v>2818</v>
      </c>
      <c r="E1144" s="184" t="s">
        <v>2819</v>
      </c>
      <c r="F1144" s="245" t="s">
        <v>1850</v>
      </c>
      <c r="K1144" s="142"/>
    </row>
    <row r="1145" spans="3:11" ht="12.75" customHeight="1">
      <c r="C1145" s="20">
        <v>1140</v>
      </c>
      <c r="D1145" s="175" t="s">
        <v>1851</v>
      </c>
      <c r="E1145" s="184" t="s">
        <v>1852</v>
      </c>
      <c r="F1145" s="245" t="s">
        <v>1853</v>
      </c>
      <c r="K1145" s="142"/>
    </row>
    <row r="1146" spans="3:11" ht="12.75" customHeight="1">
      <c r="C1146" s="20">
        <v>1141</v>
      </c>
      <c r="D1146" s="175" t="s">
        <v>1854</v>
      </c>
      <c r="E1146" s="184" t="s">
        <v>1855</v>
      </c>
      <c r="F1146" s="245" t="s">
        <v>1856</v>
      </c>
      <c r="K1146" s="142"/>
    </row>
    <row r="1147" spans="3:11" ht="12.75" customHeight="1">
      <c r="C1147" s="20">
        <v>1142</v>
      </c>
      <c r="D1147" s="175" t="s">
        <v>2820</v>
      </c>
      <c r="E1147" s="184" t="s">
        <v>2821</v>
      </c>
      <c r="F1147" s="245" t="s">
        <v>1857</v>
      </c>
      <c r="K1147" s="142"/>
    </row>
    <row r="1148" spans="3:11" ht="12.75" customHeight="1">
      <c r="C1148" s="20">
        <v>1143</v>
      </c>
      <c r="D1148" s="175" t="s">
        <v>1859</v>
      </c>
      <c r="E1148" s="184" t="s">
        <v>2822</v>
      </c>
      <c r="F1148" s="245" t="s">
        <v>1861</v>
      </c>
      <c r="K1148" s="142"/>
    </row>
    <row r="1149" spans="3:11" ht="12.75" customHeight="1">
      <c r="C1149" s="20">
        <v>1144</v>
      </c>
      <c r="D1149" s="175" t="s">
        <v>1862</v>
      </c>
      <c r="E1149" s="184" t="s">
        <v>1863</v>
      </c>
      <c r="F1149" s="245" t="s">
        <v>1864</v>
      </c>
      <c r="K1149" s="142"/>
    </row>
    <row r="1150" spans="3:11" ht="12.75" customHeight="1">
      <c r="C1150" s="20">
        <v>1145</v>
      </c>
      <c r="D1150" s="175" t="s">
        <v>2823</v>
      </c>
      <c r="E1150" s="184" t="s">
        <v>1866</v>
      </c>
      <c r="F1150" s="245" t="s">
        <v>1865</v>
      </c>
      <c r="K1150" s="142"/>
    </row>
    <row r="1151" spans="3:11" ht="12.75" customHeight="1">
      <c r="C1151" s="20">
        <v>1146</v>
      </c>
      <c r="D1151" s="175" t="s">
        <v>2824</v>
      </c>
      <c r="E1151" s="184" t="s">
        <v>2825</v>
      </c>
      <c r="F1151" s="245" t="s">
        <v>1869</v>
      </c>
      <c r="K1151" s="142"/>
    </row>
    <row r="1152" spans="3:11" ht="12.75" customHeight="1">
      <c r="C1152" s="20">
        <v>1147</v>
      </c>
      <c r="D1152" s="175" t="s">
        <v>1870</v>
      </c>
      <c r="E1152" s="184" t="s">
        <v>1871</v>
      </c>
      <c r="F1152" s="245" t="s">
        <v>1872</v>
      </c>
      <c r="K1152" s="142"/>
    </row>
    <row r="1153" spans="3:11" ht="12.75" customHeight="1">
      <c r="C1153" s="20">
        <v>1148</v>
      </c>
      <c r="D1153" s="175" t="s">
        <v>1873</v>
      </c>
      <c r="E1153" s="184" t="s">
        <v>2826</v>
      </c>
      <c r="F1153" s="245" t="s">
        <v>1875</v>
      </c>
      <c r="K1153" s="142"/>
    </row>
    <row r="1154" spans="3:11" ht="12.75" customHeight="1">
      <c r="C1154" s="20">
        <v>1149</v>
      </c>
      <c r="D1154" s="175" t="s">
        <v>1876</v>
      </c>
      <c r="E1154" s="184" t="s">
        <v>1877</v>
      </c>
      <c r="F1154" s="245" t="s">
        <v>1878</v>
      </c>
      <c r="K1154" s="142"/>
    </row>
    <row r="1155" spans="3:11" ht="12.75" customHeight="1">
      <c r="C1155" s="20">
        <v>1150</v>
      </c>
      <c r="D1155" s="175" t="s">
        <v>2827</v>
      </c>
      <c r="E1155" s="184" t="s">
        <v>2828</v>
      </c>
      <c r="F1155" s="245" t="s">
        <v>1881</v>
      </c>
      <c r="K1155" s="142"/>
    </row>
    <row r="1156" spans="3:11" ht="12.75" customHeight="1">
      <c r="C1156" s="20">
        <v>1151</v>
      </c>
      <c r="D1156" s="175" t="s">
        <v>2829</v>
      </c>
      <c r="E1156" s="184" t="s">
        <v>2830</v>
      </c>
      <c r="F1156" s="245" t="s">
        <v>1884</v>
      </c>
      <c r="K1156" s="142"/>
    </row>
    <row r="1157" spans="3:11" ht="12.75" customHeight="1">
      <c r="C1157" s="20">
        <v>1152</v>
      </c>
      <c r="D1157" s="175" t="s">
        <v>2831</v>
      </c>
      <c r="E1157" s="184" t="s">
        <v>2832</v>
      </c>
      <c r="F1157" s="245"/>
      <c r="K1157" s="142"/>
    </row>
    <row r="1158" spans="3:11" ht="12.75" customHeight="1">
      <c r="C1158" s="20">
        <v>1153</v>
      </c>
      <c r="D1158" s="175" t="s">
        <v>2833</v>
      </c>
      <c r="E1158" s="184" t="s">
        <v>2834</v>
      </c>
      <c r="F1158" s="245"/>
      <c r="K1158" s="142"/>
    </row>
    <row r="1159" spans="3:11" ht="12.75" customHeight="1">
      <c r="C1159" s="20">
        <v>1154</v>
      </c>
      <c r="D1159" s="175" t="s">
        <v>2835</v>
      </c>
      <c r="E1159" s="184" t="s">
        <v>2836</v>
      </c>
      <c r="F1159" s="245"/>
      <c r="K1159" s="142"/>
    </row>
    <row r="1160" spans="3:11" ht="12.75" customHeight="1">
      <c r="C1160" s="20">
        <v>1155</v>
      </c>
      <c r="D1160" s="146"/>
      <c r="E1160" s="64"/>
      <c r="F1160" s="245"/>
      <c r="K1160" s="142"/>
    </row>
    <row r="1161" spans="3:11" ht="12.75" customHeight="1">
      <c r="C1161" s="20">
        <v>1156</v>
      </c>
      <c r="D1161" s="54" t="s">
        <v>2837</v>
      </c>
      <c r="E1161" s="3" t="s">
        <v>2838</v>
      </c>
      <c r="F1161" s="244" t="s">
        <v>2839</v>
      </c>
      <c r="K1161" s="142"/>
    </row>
    <row r="1162" spans="3:11" ht="12.75" customHeight="1">
      <c r="C1162" s="20">
        <v>1157</v>
      </c>
      <c r="D1162" s="175" t="s">
        <v>1842</v>
      </c>
      <c r="E1162" s="184" t="s">
        <v>1843</v>
      </c>
      <c r="F1162" s="245" t="s">
        <v>1844</v>
      </c>
      <c r="K1162" s="142"/>
    </row>
    <row r="1163" spans="3:11" ht="12.75" customHeight="1">
      <c r="C1163" s="20">
        <v>1158</v>
      </c>
      <c r="D1163" s="175" t="s">
        <v>1845</v>
      </c>
      <c r="E1163" s="184" t="s">
        <v>2817</v>
      </c>
      <c r="F1163" s="245" t="s">
        <v>1847</v>
      </c>
      <c r="K1163" s="142"/>
    </row>
    <row r="1164" spans="3:11" ht="12.75" customHeight="1">
      <c r="C1164" s="20">
        <v>1159</v>
      </c>
      <c r="D1164" s="175" t="s">
        <v>1851</v>
      </c>
      <c r="E1164" s="184" t="s">
        <v>1852</v>
      </c>
      <c r="F1164" s="245" t="s">
        <v>1853</v>
      </c>
      <c r="K1164" s="142"/>
    </row>
    <row r="1165" spans="3:11" ht="12.75" customHeight="1">
      <c r="C1165" s="20">
        <v>1160</v>
      </c>
      <c r="D1165" s="175" t="s">
        <v>1854</v>
      </c>
      <c r="E1165" s="184" t="s">
        <v>1855</v>
      </c>
      <c r="F1165" s="245" t="s">
        <v>1856</v>
      </c>
      <c r="K1165" s="142"/>
    </row>
    <row r="1166" spans="3:11" ht="12.75" customHeight="1">
      <c r="C1166" s="20">
        <v>1161</v>
      </c>
      <c r="D1166" s="175" t="s">
        <v>2840</v>
      </c>
      <c r="E1166" s="184" t="s">
        <v>2841</v>
      </c>
      <c r="F1166" s="245" t="s">
        <v>1861</v>
      </c>
      <c r="K1166" s="142"/>
    </row>
    <row r="1167" spans="3:11" ht="12.75" customHeight="1">
      <c r="C1167" s="20">
        <v>1162</v>
      </c>
      <c r="D1167" s="175" t="s">
        <v>2842</v>
      </c>
      <c r="E1167" s="184" t="s">
        <v>2843</v>
      </c>
      <c r="F1167" s="245" t="s">
        <v>1864</v>
      </c>
      <c r="K1167" s="142"/>
    </row>
    <row r="1168" spans="3:11" ht="12.75" customHeight="1">
      <c r="C1168" s="20">
        <v>1163</v>
      </c>
      <c r="D1168" s="175" t="s">
        <v>1865</v>
      </c>
      <c r="E1168" s="184" t="s">
        <v>1866</v>
      </c>
      <c r="F1168" s="245" t="s">
        <v>1865</v>
      </c>
      <c r="K1168" s="142"/>
    </row>
    <row r="1169" spans="3:11" ht="12.75" customHeight="1">
      <c r="C1169" s="20">
        <v>1164</v>
      </c>
      <c r="D1169" s="175" t="s">
        <v>2844</v>
      </c>
      <c r="E1169" s="184" t="s">
        <v>2845</v>
      </c>
      <c r="F1169" s="245" t="s">
        <v>1872</v>
      </c>
      <c r="K1169" s="142"/>
    </row>
    <row r="1170" spans="3:11" ht="12.75" customHeight="1">
      <c r="C1170" s="20">
        <v>1165</v>
      </c>
      <c r="D1170" s="175" t="s">
        <v>2846</v>
      </c>
      <c r="E1170" s="184" t="s">
        <v>2847</v>
      </c>
      <c r="F1170" s="245" t="s">
        <v>1875</v>
      </c>
      <c r="K1170" s="142"/>
    </row>
    <row r="1171" spans="3:11" ht="12.75" customHeight="1">
      <c r="C1171" s="20">
        <v>1166</v>
      </c>
      <c r="D1171" s="175" t="s">
        <v>1876</v>
      </c>
      <c r="E1171" s="184" t="s">
        <v>1877</v>
      </c>
      <c r="F1171" s="245" t="s">
        <v>1878</v>
      </c>
      <c r="K1171" s="142"/>
    </row>
    <row r="1172" spans="3:11" ht="13.5" customHeight="1">
      <c r="C1172" s="20">
        <v>1167</v>
      </c>
      <c r="D1172" s="175" t="s">
        <v>2848</v>
      </c>
      <c r="E1172" s="184" t="s">
        <v>2849</v>
      </c>
      <c r="F1172" s="245" t="s">
        <v>1881</v>
      </c>
      <c r="K1172" s="142"/>
    </row>
    <row r="1173" spans="3:11" ht="13.5" customHeight="1" thickBot="1">
      <c r="C1173" s="20">
        <v>1168</v>
      </c>
      <c r="D1173" s="396" t="s">
        <v>2850</v>
      </c>
      <c r="E1173" s="322" t="s">
        <v>2851</v>
      </c>
      <c r="F1173" s="397" t="s">
        <v>1884</v>
      </c>
      <c r="K1173" s="142"/>
    </row>
    <row r="1174" spans="3:11" ht="12.75" customHeight="1" thickTop="1">
      <c r="C1174" s="20">
        <v>1169</v>
      </c>
      <c r="D1174" s="175"/>
      <c r="E1174" s="184"/>
      <c r="F1174" s="245"/>
      <c r="K1174" s="142"/>
    </row>
    <row r="1175" spans="3:11" ht="12.75" customHeight="1">
      <c r="C1175" s="20">
        <v>1170</v>
      </c>
      <c r="D1175" s="54" t="s">
        <v>1212</v>
      </c>
      <c r="E1175" s="3" t="s">
        <v>2852</v>
      </c>
      <c r="F1175" s="244" t="s">
        <v>2853</v>
      </c>
      <c r="K1175" s="142"/>
    </row>
    <row r="1176" spans="3:11" ht="12.75" customHeight="1">
      <c r="C1176" s="20">
        <v>1171</v>
      </c>
      <c r="D1176" s="175" t="s">
        <v>1195</v>
      </c>
      <c r="E1176" s="184" t="s">
        <v>2854</v>
      </c>
      <c r="F1176" s="245" t="s">
        <v>2855</v>
      </c>
      <c r="K1176" s="142"/>
    </row>
    <row r="1177" spans="3:11" ht="12.75" customHeight="1">
      <c r="C1177" s="20">
        <v>1172</v>
      </c>
      <c r="D1177" s="175" t="s">
        <v>1196</v>
      </c>
      <c r="E1177" s="184" t="s">
        <v>2856</v>
      </c>
      <c r="F1177" s="245" t="s">
        <v>2857</v>
      </c>
      <c r="K1177" s="142"/>
    </row>
    <row r="1178" spans="3:11" ht="12.75" customHeight="1">
      <c r="C1178" s="20">
        <v>1173</v>
      </c>
      <c r="D1178" s="175" t="s">
        <v>1158</v>
      </c>
      <c r="E1178" s="184" t="s">
        <v>2858</v>
      </c>
      <c r="F1178" s="245" t="s">
        <v>2859</v>
      </c>
      <c r="K1178" s="142"/>
    </row>
    <row r="1179" spans="3:11" ht="12.75" customHeight="1">
      <c r="C1179" s="20">
        <v>1174</v>
      </c>
      <c r="D1179" s="146"/>
      <c r="E1179" s="184"/>
      <c r="F1179" s="146" t="s">
        <v>2860</v>
      </c>
      <c r="K1179" s="142"/>
    </row>
    <row r="1180" spans="3:11" ht="12.75" customHeight="1">
      <c r="C1180" s="20">
        <v>1175</v>
      </c>
      <c r="D1180" s="54" t="s">
        <v>2861</v>
      </c>
      <c r="E1180" s="3" t="s">
        <v>2862</v>
      </c>
      <c r="F1180" s="244" t="s">
        <v>2863</v>
      </c>
      <c r="K1180" s="142"/>
    </row>
    <row r="1181" spans="3:11" ht="12.75" customHeight="1">
      <c r="C1181" s="20">
        <v>1176</v>
      </c>
      <c r="D1181" s="175" t="s">
        <v>1145</v>
      </c>
      <c r="E1181" s="184" t="s">
        <v>2864</v>
      </c>
      <c r="F1181" s="245" t="s">
        <v>2865</v>
      </c>
      <c r="K1181" s="142"/>
    </row>
    <row r="1182" spans="3:11" ht="12.75" customHeight="1">
      <c r="C1182" s="20">
        <v>1177</v>
      </c>
      <c r="D1182" s="175" t="s">
        <v>1146</v>
      </c>
      <c r="E1182" s="184" t="s">
        <v>2866</v>
      </c>
      <c r="F1182" s="245" t="s">
        <v>2867</v>
      </c>
      <c r="K1182" s="142"/>
    </row>
    <row r="1183" spans="3:11" ht="12.75" customHeight="1">
      <c r="C1183" s="20">
        <v>1178</v>
      </c>
      <c r="D1183" s="175" t="s">
        <v>2868</v>
      </c>
      <c r="E1183" s="184" t="s">
        <v>1977</v>
      </c>
      <c r="F1183" s="245" t="s">
        <v>2869</v>
      </c>
      <c r="K1183" s="142"/>
    </row>
    <row r="1184" spans="3:11" ht="12.75" customHeight="1">
      <c r="C1184" s="20">
        <v>1179</v>
      </c>
      <c r="D1184" s="175" t="s">
        <v>2870</v>
      </c>
      <c r="E1184" s="184" t="s">
        <v>2050</v>
      </c>
      <c r="F1184" s="245" t="s">
        <v>2871</v>
      </c>
      <c r="K1184" s="142"/>
    </row>
    <row r="1185" spans="3:11" ht="12.75" customHeight="1">
      <c r="C1185" s="20">
        <v>1180</v>
      </c>
      <c r="D1185" s="175"/>
      <c r="E1185" s="64"/>
      <c r="F1185" s="245"/>
      <c r="K1185" s="142"/>
    </row>
    <row r="1186" spans="3:11" ht="12.75" customHeight="1">
      <c r="C1186" s="20">
        <v>1181</v>
      </c>
      <c r="D1186" s="175" t="s">
        <v>2872</v>
      </c>
      <c r="E1186" s="184" t="s">
        <v>2873</v>
      </c>
      <c r="F1186" s="245" t="s">
        <v>2874</v>
      </c>
      <c r="K1186" s="142"/>
    </row>
    <row r="1187" spans="3:11" ht="12.75" customHeight="1">
      <c r="C1187" s="20">
        <v>1182</v>
      </c>
      <c r="D1187" s="175" t="s">
        <v>2875</v>
      </c>
      <c r="E1187" s="184" t="s">
        <v>2876</v>
      </c>
      <c r="F1187" s="245" t="s">
        <v>2875</v>
      </c>
      <c r="K1187" s="142"/>
    </row>
    <row r="1188" spans="3:11" ht="12.75" customHeight="1">
      <c r="C1188" s="20">
        <v>1183</v>
      </c>
      <c r="D1188" s="175" t="s">
        <v>2877</v>
      </c>
      <c r="E1188" s="184" t="s">
        <v>2878</v>
      </c>
      <c r="F1188" s="245" t="s">
        <v>2879</v>
      </c>
      <c r="K1188" s="142"/>
    </row>
    <row r="1189" spans="3:11" ht="12.75" customHeight="1">
      <c r="C1189" s="20">
        <v>1184</v>
      </c>
      <c r="D1189" s="175"/>
      <c r="E1189" s="64"/>
      <c r="F1189" s="245"/>
      <c r="K1189" s="142"/>
    </row>
    <row r="1190" spans="3:11" ht="12.75" customHeight="1">
      <c r="C1190" s="20">
        <v>1185</v>
      </c>
      <c r="D1190" s="175" t="s">
        <v>1626</v>
      </c>
      <c r="E1190" s="184" t="s">
        <v>1627</v>
      </c>
      <c r="F1190" s="245" t="s">
        <v>1628</v>
      </c>
      <c r="K1190" s="142"/>
    </row>
    <row r="1191" spans="3:11" ht="12.75" customHeight="1">
      <c r="C1191" s="20">
        <v>1186</v>
      </c>
      <c r="D1191" s="175" t="s">
        <v>121</v>
      </c>
      <c r="E1191" s="184" t="s">
        <v>1635</v>
      </c>
      <c r="F1191" s="245" t="s">
        <v>1884</v>
      </c>
      <c r="K1191" s="142"/>
    </row>
    <row r="1192" spans="3:11" ht="12.75" customHeight="1">
      <c r="C1192" s="20">
        <v>1187</v>
      </c>
      <c r="D1192" s="146"/>
      <c r="E1192" s="64"/>
      <c r="F1192" s="146"/>
      <c r="K1192" s="142"/>
    </row>
    <row r="1193" spans="3:11" ht="12.75" customHeight="1">
      <c r="C1193" s="20">
        <v>1188</v>
      </c>
      <c r="D1193" s="175" t="s">
        <v>1621</v>
      </c>
      <c r="E1193" s="184" t="s">
        <v>2880</v>
      </c>
      <c r="F1193" s="245" t="s">
        <v>1621</v>
      </c>
      <c r="K1193" s="142"/>
    </row>
    <row r="1194" spans="3:11" ht="12.75" customHeight="1">
      <c r="C1194" s="20">
        <v>1189</v>
      </c>
      <c r="D1194" s="175" t="s">
        <v>2881</v>
      </c>
      <c r="E1194" s="184" t="s">
        <v>2882</v>
      </c>
      <c r="F1194" s="245" t="s">
        <v>2881</v>
      </c>
      <c r="K1194" s="142"/>
    </row>
    <row r="1195" spans="3:11" ht="12.75" customHeight="1">
      <c r="C1195" s="20">
        <v>1190</v>
      </c>
      <c r="D1195" s="175" t="s">
        <v>2883</v>
      </c>
      <c r="E1195" s="184" t="s">
        <v>2884</v>
      </c>
      <c r="F1195" s="245" t="s">
        <v>2885</v>
      </c>
      <c r="K1195" s="142"/>
    </row>
    <row r="1196" spans="3:11" ht="12.75" customHeight="1">
      <c r="C1196" s="20">
        <v>1191</v>
      </c>
      <c r="D1196" s="175"/>
      <c r="E1196" s="64"/>
      <c r="F1196" s="245"/>
      <c r="K1196" s="142"/>
    </row>
    <row r="1197" spans="3:11" ht="12.75" customHeight="1">
      <c r="C1197" s="20">
        <v>1192</v>
      </c>
      <c r="D1197" s="175" t="s">
        <v>1623</v>
      </c>
      <c r="E1197" s="184" t="s">
        <v>1624</v>
      </c>
      <c r="F1197" s="245" t="s">
        <v>1625</v>
      </c>
      <c r="K1197" s="142"/>
    </row>
    <row r="1198" spans="3:11" ht="12.75" customHeight="1">
      <c r="C1198" s="20">
        <v>1193</v>
      </c>
      <c r="D1198" s="175" t="s">
        <v>1626</v>
      </c>
      <c r="E1198" s="184" t="s">
        <v>1627</v>
      </c>
      <c r="F1198" s="245" t="s">
        <v>1628</v>
      </c>
      <c r="K1198" s="142"/>
    </row>
    <row r="1199" spans="3:11" ht="12.75" customHeight="1">
      <c r="C1199" s="20">
        <v>1194</v>
      </c>
      <c r="D1199" s="175" t="s">
        <v>2886</v>
      </c>
      <c r="E1199" s="184" t="s">
        <v>1630</v>
      </c>
      <c r="F1199" s="245" t="s">
        <v>1631</v>
      </c>
      <c r="K1199" s="142"/>
    </row>
    <row r="1200" spans="3:11" ht="12.75" customHeight="1">
      <c r="C1200" s="20">
        <v>1195</v>
      </c>
      <c r="D1200" s="175" t="s">
        <v>1632</v>
      </c>
      <c r="E1200" s="184" t="s">
        <v>1633</v>
      </c>
      <c r="F1200" s="245" t="s">
        <v>1634</v>
      </c>
      <c r="K1200" s="142"/>
    </row>
    <row r="1201" spans="3:11" ht="12.75" customHeight="1">
      <c r="C1201" s="20">
        <v>1196</v>
      </c>
      <c r="D1201" s="175"/>
      <c r="E1201" s="64"/>
      <c r="F1201" s="245"/>
      <c r="K1201" s="142"/>
    </row>
    <row r="1202" spans="3:11" ht="12.75" customHeight="1">
      <c r="C1202" s="20">
        <v>1197</v>
      </c>
      <c r="D1202" s="175"/>
      <c r="E1202" s="64"/>
      <c r="F1202" s="245"/>
      <c r="K1202" s="142"/>
    </row>
    <row r="1203" spans="3:11" ht="12.75" customHeight="1">
      <c r="C1203" s="20">
        <v>1198</v>
      </c>
      <c r="D1203" s="54" t="s">
        <v>2887</v>
      </c>
      <c r="E1203" s="3" t="s">
        <v>2888</v>
      </c>
      <c r="F1203" s="244" t="s">
        <v>2889</v>
      </c>
      <c r="K1203" s="142"/>
    </row>
    <row r="1204" spans="3:11" ht="12.75" customHeight="1">
      <c r="C1204" s="20">
        <v>1199</v>
      </c>
      <c r="D1204" s="176" t="s">
        <v>2890</v>
      </c>
      <c r="E1204" s="316" t="s">
        <v>2891</v>
      </c>
      <c r="F1204" s="246" t="s">
        <v>2892</v>
      </c>
      <c r="K1204" s="142"/>
    </row>
    <row r="1205" spans="3:11" ht="12.75" customHeight="1">
      <c r="C1205" s="20">
        <v>1200</v>
      </c>
      <c r="D1205" s="175" t="s">
        <v>2893</v>
      </c>
      <c r="E1205" s="184" t="s">
        <v>2894</v>
      </c>
      <c r="F1205" s="245" t="s">
        <v>2895</v>
      </c>
      <c r="K1205" s="142"/>
    </row>
    <row r="1206" spans="3:11" ht="12.75" customHeight="1">
      <c r="C1206" s="20">
        <v>1201</v>
      </c>
      <c r="D1206" s="175" t="s">
        <v>2896</v>
      </c>
      <c r="E1206" s="184" t="s">
        <v>2897</v>
      </c>
      <c r="F1206" s="245" t="s">
        <v>2898</v>
      </c>
      <c r="K1206" s="142"/>
    </row>
    <row r="1207" spans="3:11" ht="12.75" customHeight="1">
      <c r="C1207" s="20">
        <v>1202</v>
      </c>
      <c r="D1207" s="175" t="s">
        <v>2899</v>
      </c>
      <c r="E1207" s="184" t="s">
        <v>2900</v>
      </c>
      <c r="F1207" s="245" t="s">
        <v>2901</v>
      </c>
      <c r="K1207" s="142"/>
    </row>
    <row r="1208" spans="3:11" ht="12.75" customHeight="1">
      <c r="C1208" s="20">
        <v>1203</v>
      </c>
      <c r="D1208" s="146"/>
      <c r="E1208" s="64"/>
      <c r="F1208" s="146"/>
      <c r="K1208" s="142"/>
    </row>
    <row r="1209" spans="3:11" ht="12.75" customHeight="1">
      <c r="C1209" s="20">
        <v>1204</v>
      </c>
      <c r="D1209" s="175" t="s">
        <v>2902</v>
      </c>
      <c r="E1209" s="184" t="s">
        <v>1928</v>
      </c>
      <c r="F1209" s="245" t="s">
        <v>2903</v>
      </c>
      <c r="K1209" s="142"/>
    </row>
    <row r="1210" spans="3:11" ht="12.75" customHeight="1">
      <c r="C1210" s="20">
        <v>1205</v>
      </c>
      <c r="D1210" s="175" t="s">
        <v>2904</v>
      </c>
      <c r="E1210" s="184" t="s">
        <v>2905</v>
      </c>
      <c r="F1210" s="245" t="s">
        <v>2906</v>
      </c>
      <c r="K1210" s="142"/>
    </row>
    <row r="1211" spans="3:11" ht="12.75" customHeight="1">
      <c r="C1211" s="20">
        <v>1206</v>
      </c>
      <c r="D1211" s="175" t="s">
        <v>2907</v>
      </c>
      <c r="E1211" s="177" t="s">
        <v>2908</v>
      </c>
      <c r="F1211" s="245" t="s">
        <v>2909</v>
      </c>
      <c r="K1211" s="142"/>
    </row>
    <row r="1212" spans="3:11" ht="12.75" customHeight="1">
      <c r="C1212" s="20">
        <v>1207</v>
      </c>
      <c r="D1212" s="175"/>
      <c r="E1212" s="64"/>
      <c r="F1212" s="245"/>
      <c r="K1212" s="142"/>
    </row>
    <row r="1213" spans="3:11" ht="12.75" customHeight="1">
      <c r="C1213" s="20">
        <v>1208</v>
      </c>
      <c r="D1213" s="175" t="s">
        <v>2910</v>
      </c>
      <c r="E1213" s="184" t="s">
        <v>2911</v>
      </c>
      <c r="F1213" s="245" t="s">
        <v>2912</v>
      </c>
      <c r="K1213" s="142"/>
    </row>
    <row r="1214" spans="3:11" ht="12.75" customHeight="1">
      <c r="C1214" s="20">
        <v>1209</v>
      </c>
      <c r="D1214" s="175" t="s">
        <v>2913</v>
      </c>
      <c r="E1214" s="184" t="s">
        <v>2914</v>
      </c>
      <c r="F1214" s="245" t="s">
        <v>2915</v>
      </c>
      <c r="K1214" s="142"/>
    </row>
    <row r="1215" spans="3:11" ht="12.75" customHeight="1">
      <c r="C1215" s="20">
        <v>1210</v>
      </c>
      <c r="D1215" s="175"/>
      <c r="E1215" s="64"/>
      <c r="F1215" s="175"/>
      <c r="K1215" s="142"/>
    </row>
    <row r="1216" spans="3:11" ht="12.75" customHeight="1">
      <c r="C1216" s="20">
        <v>1211</v>
      </c>
      <c r="D1216" s="175"/>
      <c r="E1216" s="64"/>
      <c r="F1216" s="321"/>
      <c r="K1216" s="142"/>
    </row>
    <row r="1217" spans="3:11" ht="12.75" customHeight="1">
      <c r="C1217" s="20">
        <v>1212</v>
      </c>
      <c r="D1217" s="175" t="s">
        <v>2916</v>
      </c>
      <c r="E1217" s="184" t="s">
        <v>2917</v>
      </c>
      <c r="F1217" s="245" t="s">
        <v>2918</v>
      </c>
      <c r="K1217" s="142"/>
    </row>
    <row r="1218" spans="3:11" ht="12.75" customHeight="1">
      <c r="C1218" s="20">
        <v>1213</v>
      </c>
      <c r="D1218" s="175" t="s">
        <v>2919</v>
      </c>
      <c r="E1218" s="184" t="s">
        <v>2920</v>
      </c>
      <c r="F1218" s="245" t="s">
        <v>2921</v>
      </c>
      <c r="K1218" s="142"/>
    </row>
    <row r="1219" spans="3:11" ht="12.75" customHeight="1">
      <c r="C1219" s="20">
        <v>1214</v>
      </c>
      <c r="D1219" s="175"/>
      <c r="E1219" s="64"/>
      <c r="F1219" s="245"/>
      <c r="K1219" s="142"/>
    </row>
    <row r="1220" spans="3:11" ht="12.75" customHeight="1">
      <c r="C1220" s="20">
        <v>1215</v>
      </c>
      <c r="D1220" s="175" t="s">
        <v>579</v>
      </c>
      <c r="E1220" s="184" t="s">
        <v>579</v>
      </c>
      <c r="F1220" s="245" t="s">
        <v>579</v>
      </c>
      <c r="K1220" s="142"/>
    </row>
    <row r="1221" spans="3:11" ht="12.75" customHeight="1">
      <c r="C1221" s="20">
        <v>1216</v>
      </c>
      <c r="D1221" s="175" t="s">
        <v>2922</v>
      </c>
      <c r="E1221" s="184" t="s">
        <v>2923</v>
      </c>
      <c r="F1221" s="245" t="s">
        <v>2922</v>
      </c>
      <c r="K1221" s="142"/>
    </row>
    <row r="1222" spans="3:11" ht="12.75" customHeight="1">
      <c r="C1222" s="20">
        <v>1217</v>
      </c>
      <c r="D1222" s="175"/>
      <c r="E1222" s="64"/>
      <c r="F1222" s="245"/>
      <c r="K1222" s="142"/>
    </row>
    <row r="1223" spans="3:11" ht="12.75" customHeight="1">
      <c r="C1223" s="20">
        <v>1218</v>
      </c>
      <c r="D1223" s="175" t="s">
        <v>2924</v>
      </c>
      <c r="E1223" s="184" t="s">
        <v>2925</v>
      </c>
      <c r="F1223" s="245" t="s">
        <v>2926</v>
      </c>
      <c r="K1223" s="142"/>
    </row>
    <row r="1224" spans="3:11" ht="12.75" customHeight="1">
      <c r="C1224" s="20">
        <v>1219</v>
      </c>
      <c r="D1224" s="303" t="s">
        <v>2927</v>
      </c>
      <c r="E1224" s="10" t="s">
        <v>2928</v>
      </c>
      <c r="F1224" s="304" t="s">
        <v>2929</v>
      </c>
      <c r="K1224" s="142"/>
    </row>
    <row r="1225" spans="3:11" ht="12.75" customHeight="1">
      <c r="C1225" s="20">
        <v>1220</v>
      </c>
      <c r="D1225" s="146" t="s">
        <v>2930</v>
      </c>
      <c r="E1225" s="64" t="s">
        <v>2931</v>
      </c>
      <c r="F1225" s="304" t="s">
        <v>2932</v>
      </c>
      <c r="K1225" s="142"/>
    </row>
    <row r="1226" spans="3:11" ht="12.75" customHeight="1">
      <c r="C1226" s="20">
        <v>1221</v>
      </c>
      <c r="D1226" s="150" t="s">
        <v>2933</v>
      </c>
      <c r="E1226" s="321" t="s">
        <v>2934</v>
      </c>
      <c r="F1226" s="245" t="s">
        <v>2935</v>
      </c>
      <c r="K1226" s="142"/>
    </row>
    <row r="1227" spans="3:11" ht="12.75" customHeight="1">
      <c r="C1227" s="20">
        <v>1222</v>
      </c>
      <c r="D1227" s="321" t="s">
        <v>2936</v>
      </c>
      <c r="E1227" s="321" t="s">
        <v>2937</v>
      </c>
      <c r="F1227" s="398" t="s">
        <v>2938</v>
      </c>
      <c r="K1227" s="142"/>
    </row>
    <row r="1228" spans="3:11" ht="12.75" customHeight="1">
      <c r="C1228" s="20">
        <v>1223</v>
      </c>
      <c r="D1228" s="150" t="s">
        <v>2939</v>
      </c>
      <c r="E1228" s="321" t="s">
        <v>2940</v>
      </c>
      <c r="F1228" s="245" t="s">
        <v>2941</v>
      </c>
      <c r="K1228" s="142"/>
    </row>
    <row r="1229" spans="3:11" ht="12.75" customHeight="1">
      <c r="C1229" s="20">
        <v>1224</v>
      </c>
      <c r="D1229" s="150" t="s">
        <v>2942</v>
      </c>
      <c r="E1229" s="321" t="s">
        <v>2943</v>
      </c>
      <c r="F1229" s="398" t="s">
        <v>2944</v>
      </c>
      <c r="K1229" s="142"/>
    </row>
    <row r="1230" spans="3:11" ht="12.75" customHeight="1">
      <c r="C1230" s="20">
        <v>1225</v>
      </c>
      <c r="D1230" s="150" t="s">
        <v>2945</v>
      </c>
      <c r="E1230" s="321" t="s">
        <v>2946</v>
      </c>
      <c r="F1230" s="398" t="s">
        <v>2947</v>
      </c>
      <c r="K1230" s="142"/>
    </row>
    <row r="1231" spans="3:11" ht="12.75" customHeight="1">
      <c r="C1231" s="20">
        <v>1226</v>
      </c>
      <c r="D1231" s="150" t="s">
        <v>2948</v>
      </c>
      <c r="E1231" s="64" t="s">
        <v>2949</v>
      </c>
      <c r="F1231" s="398" t="s">
        <v>2950</v>
      </c>
      <c r="K1231" s="142"/>
    </row>
    <row r="1232" spans="3:11" ht="38.25">
      <c r="C1232" s="20">
        <v>1227</v>
      </c>
      <c r="D1232" s="150" t="s">
        <v>734</v>
      </c>
      <c r="E1232" s="321" t="s">
        <v>2836</v>
      </c>
      <c r="F1232" s="245" t="s">
        <v>2951</v>
      </c>
      <c r="K1232" s="142"/>
    </row>
    <row r="1233" spans="3:11">
      <c r="C1233" s="20">
        <v>1228</v>
      </c>
      <c r="D1233" s="265"/>
      <c r="E1233" s="399"/>
      <c r="F1233" s="64" t="s">
        <v>2952</v>
      </c>
      <c r="K1233" s="142"/>
    </row>
    <row r="1234" spans="3:11">
      <c r="C1234" s="20">
        <v>1228.0999999999999</v>
      </c>
      <c r="D1234" s="266"/>
      <c r="E1234" s="400"/>
    </row>
    <row r="1235" spans="3:11" ht="25.5">
      <c r="C1235" s="20">
        <v>1229</v>
      </c>
      <c r="D1235" s="177" t="s">
        <v>2953</v>
      </c>
      <c r="E1235" s="177" t="s">
        <v>2954</v>
      </c>
      <c r="F1235" s="177" t="s">
        <v>2953</v>
      </c>
    </row>
    <row r="1236" spans="3:11" ht="25.5">
      <c r="C1236" s="20">
        <v>1230</v>
      </c>
      <c r="D1236" s="177" t="s">
        <v>2955</v>
      </c>
      <c r="E1236" s="177" t="s">
        <v>2956</v>
      </c>
      <c r="F1236" s="177" t="s">
        <v>2955</v>
      </c>
    </row>
    <row r="1237" spans="3:11" ht="25.5">
      <c r="C1237" s="20">
        <v>1231</v>
      </c>
      <c r="D1237" s="177" t="s">
        <v>2957</v>
      </c>
      <c r="E1237" s="177" t="s">
        <v>2958</v>
      </c>
      <c r="F1237" s="177" t="s">
        <v>2957</v>
      </c>
    </row>
    <row r="1238" spans="3:11">
      <c r="C1238" s="20">
        <v>1232</v>
      </c>
      <c r="E1238" s="64"/>
    </row>
    <row r="1239" spans="3:11" ht="25.5">
      <c r="C1239" s="20">
        <v>1233</v>
      </c>
      <c r="D1239" s="205" t="s">
        <v>2959</v>
      </c>
      <c r="E1239" s="205" t="s">
        <v>2960</v>
      </c>
      <c r="F1239" s="169" t="s">
        <v>2961</v>
      </c>
    </row>
    <row r="1240" spans="3:11" ht="25.5">
      <c r="C1240" s="20">
        <v>1234</v>
      </c>
      <c r="D1240" s="205" t="s">
        <v>2962</v>
      </c>
      <c r="E1240" s="205" t="s">
        <v>2963</v>
      </c>
      <c r="F1240" s="169" t="s">
        <v>2964</v>
      </c>
    </row>
    <row r="1241" spans="3:11" ht="25.5">
      <c r="C1241" s="20">
        <v>1235</v>
      </c>
      <c r="D1241" s="205" t="s">
        <v>2965</v>
      </c>
      <c r="E1241" s="205" t="s">
        <v>2966</v>
      </c>
      <c r="F1241" s="169" t="s">
        <v>2967</v>
      </c>
    </row>
    <row r="1242" spans="3:11" ht="38.25">
      <c r="C1242" s="20">
        <v>1236</v>
      </c>
      <c r="D1242" s="205" t="s">
        <v>2968</v>
      </c>
      <c r="E1242" s="205" t="s">
        <v>2969</v>
      </c>
      <c r="F1242" s="169" t="s">
        <v>2970</v>
      </c>
    </row>
    <row r="1243" spans="3:11" ht="25.5">
      <c r="C1243" s="20">
        <v>1237</v>
      </c>
      <c r="D1243" s="205" t="s">
        <v>2971</v>
      </c>
      <c r="E1243" s="205" t="s">
        <v>2972</v>
      </c>
      <c r="F1243" s="169" t="s">
        <v>2973</v>
      </c>
    </row>
    <row r="1244" spans="3:11">
      <c r="E1244" s="64"/>
    </row>
    <row r="1245" spans="3:11">
      <c r="C1245" s="64" t="s">
        <v>2974</v>
      </c>
      <c r="D1245" s="64" t="s">
        <v>2974</v>
      </c>
      <c r="E1245" s="64" t="s">
        <v>2975</v>
      </c>
      <c r="F1245" s="64" t="s">
        <v>2974</v>
      </c>
    </row>
    <row r="1246" spans="3:11">
      <c r="C1246" s="64" t="s">
        <v>2976</v>
      </c>
      <c r="D1246" s="64" t="s">
        <v>2976</v>
      </c>
      <c r="E1246" s="64" t="s">
        <v>2977</v>
      </c>
      <c r="F1246" s="64" t="s">
        <v>2976</v>
      </c>
    </row>
    <row r="1247" spans="3:11">
      <c r="C1247" s="64" t="s">
        <v>2978</v>
      </c>
      <c r="D1247" s="64" t="s">
        <v>2978</v>
      </c>
      <c r="E1247" s="64" t="s">
        <v>2979</v>
      </c>
      <c r="F1247" s="64" t="s">
        <v>2978</v>
      </c>
    </row>
    <row r="1248" spans="3:11">
      <c r="C1248" s="64" t="s">
        <v>2980</v>
      </c>
      <c r="D1248" s="64" t="s">
        <v>2980</v>
      </c>
      <c r="E1248" s="64" t="s">
        <v>2981</v>
      </c>
      <c r="F1248" s="64" t="s">
        <v>2980</v>
      </c>
    </row>
    <row r="1249" spans="3:6">
      <c r="C1249" s="64" t="s">
        <v>2982</v>
      </c>
      <c r="D1249" s="64" t="s">
        <v>2982</v>
      </c>
      <c r="E1249" s="64" t="s">
        <v>2983</v>
      </c>
      <c r="F1249" s="64" t="s">
        <v>2982</v>
      </c>
    </row>
    <row r="1250" spans="3:6" ht="51">
      <c r="C1250" s="64" t="s">
        <v>2984</v>
      </c>
      <c r="D1250" s="64" t="s">
        <v>2984</v>
      </c>
      <c r="E1250" s="64" t="s">
        <v>2985</v>
      </c>
      <c r="F1250" s="64" t="s">
        <v>2986</v>
      </c>
    </row>
    <row r="1251" spans="3:6" ht="25.5">
      <c r="C1251" s="64" t="s">
        <v>2987</v>
      </c>
      <c r="D1251" s="64" t="s">
        <v>2987</v>
      </c>
      <c r="E1251" s="64" t="s">
        <v>2988</v>
      </c>
      <c r="F1251" s="64" t="s">
        <v>2989</v>
      </c>
    </row>
    <row r="1252" spans="3:6" ht="25.5">
      <c r="C1252" s="64" t="s">
        <v>2990</v>
      </c>
      <c r="D1252" s="64" t="s">
        <v>2990</v>
      </c>
      <c r="E1252" s="64" t="s">
        <v>2991</v>
      </c>
      <c r="F1252" s="64" t="s">
        <v>2992</v>
      </c>
    </row>
    <row r="1253" spans="3:6">
      <c r="C1253" s="64" t="s">
        <v>2993</v>
      </c>
      <c r="D1253" s="64" t="s">
        <v>2993</v>
      </c>
      <c r="E1253" s="64" t="s">
        <v>2994</v>
      </c>
      <c r="F1253" s="64" t="s">
        <v>2995</v>
      </c>
    </row>
    <row r="1254" spans="3:6" ht="25.5">
      <c r="C1254" s="64" t="s">
        <v>2996</v>
      </c>
      <c r="D1254" s="64" t="s">
        <v>2996</v>
      </c>
      <c r="E1254" s="64" t="s">
        <v>2997</v>
      </c>
      <c r="F1254" s="64" t="s">
        <v>2998</v>
      </c>
    </row>
    <row r="1255" spans="3:6" ht="51">
      <c r="C1255" s="64" t="s">
        <v>2999</v>
      </c>
      <c r="D1255" s="64" t="s">
        <v>2999</v>
      </c>
      <c r="E1255" s="64" t="s">
        <v>3000</v>
      </c>
      <c r="F1255" s="64" t="s">
        <v>3001</v>
      </c>
    </row>
    <row r="1256" spans="3:6" ht="63.75">
      <c r="C1256" s="64" t="s">
        <v>3002</v>
      </c>
      <c r="D1256" s="64" t="s">
        <v>3002</v>
      </c>
      <c r="E1256" s="64" t="s">
        <v>3003</v>
      </c>
      <c r="F1256" s="64" t="s">
        <v>3004</v>
      </c>
    </row>
    <row r="1257" spans="3:6" ht="63.75">
      <c r="C1257" s="64" t="s">
        <v>3005</v>
      </c>
      <c r="D1257" s="64" t="s">
        <v>3005</v>
      </c>
      <c r="E1257" s="64" t="s">
        <v>3006</v>
      </c>
      <c r="F1257" s="64" t="s">
        <v>3007</v>
      </c>
    </row>
    <row r="1258" spans="3:6" ht="63.75">
      <c r="C1258" s="64" t="s">
        <v>3008</v>
      </c>
      <c r="D1258" s="64" t="s">
        <v>3008</v>
      </c>
      <c r="E1258" s="64" t="s">
        <v>3009</v>
      </c>
      <c r="F1258" s="64" t="s">
        <v>3010</v>
      </c>
    </row>
    <row r="1259" spans="3:6" ht="63.75">
      <c r="C1259" s="64" t="s">
        <v>3011</v>
      </c>
      <c r="D1259" s="64" t="s">
        <v>3011</v>
      </c>
      <c r="E1259" s="64" t="s">
        <v>3012</v>
      </c>
      <c r="F1259" s="64" t="s">
        <v>3013</v>
      </c>
    </row>
    <row r="1260" spans="3:6" ht="25.5">
      <c r="C1260" s="64" t="s">
        <v>3014</v>
      </c>
      <c r="D1260" s="64" t="s">
        <v>3014</v>
      </c>
      <c r="E1260" s="64" t="s">
        <v>3015</v>
      </c>
      <c r="F1260" s="64" t="s">
        <v>3016</v>
      </c>
    </row>
    <row r="1261" spans="3:6" ht="25.5">
      <c r="C1261" s="64" t="s">
        <v>3017</v>
      </c>
      <c r="D1261" s="64" t="s">
        <v>3017</v>
      </c>
      <c r="E1261" s="64" t="s">
        <v>3018</v>
      </c>
      <c r="F1261" s="64" t="s">
        <v>3019</v>
      </c>
    </row>
    <row r="1262" spans="3:6" ht="63.75">
      <c r="C1262" s="64" t="s">
        <v>3020</v>
      </c>
      <c r="D1262" s="64" t="s">
        <v>3020</v>
      </c>
      <c r="E1262" s="64" t="s">
        <v>3021</v>
      </c>
      <c r="F1262" s="64" t="s">
        <v>3022</v>
      </c>
    </row>
    <row r="1263" spans="3:6" ht="76.5">
      <c r="C1263" s="64" t="s">
        <v>3023</v>
      </c>
      <c r="D1263" s="64" t="s">
        <v>3023</v>
      </c>
      <c r="E1263" s="64" t="s">
        <v>3024</v>
      </c>
      <c r="F1263" s="64" t="s">
        <v>3025</v>
      </c>
    </row>
    <row r="1264" spans="3:6" ht="76.5">
      <c r="C1264" s="64" t="s">
        <v>3026</v>
      </c>
      <c r="D1264" s="64" t="s">
        <v>3026</v>
      </c>
      <c r="E1264" s="64" t="s">
        <v>3027</v>
      </c>
      <c r="F1264" s="64" t="s">
        <v>3028</v>
      </c>
    </row>
    <row r="1265" spans="3:6" ht="76.5">
      <c r="C1265" s="64" t="s">
        <v>3029</v>
      </c>
      <c r="D1265" s="64" t="s">
        <v>3029</v>
      </c>
      <c r="E1265" s="64" t="s">
        <v>3030</v>
      </c>
      <c r="F1265" s="64" t="s">
        <v>3031</v>
      </c>
    </row>
    <row r="1266" spans="3:6" ht="76.5">
      <c r="C1266" s="64" t="s">
        <v>3032</v>
      </c>
      <c r="D1266" s="64" t="s">
        <v>3032</v>
      </c>
      <c r="E1266" s="64" t="s">
        <v>3033</v>
      </c>
      <c r="F1266" s="64" t="s">
        <v>3034</v>
      </c>
    </row>
    <row r="1267" spans="3:6" ht="25.5">
      <c r="C1267" s="64" t="s">
        <v>3035</v>
      </c>
      <c r="D1267" s="64" t="s">
        <v>3035</v>
      </c>
      <c r="E1267" s="64" t="s">
        <v>3036</v>
      </c>
      <c r="F1267" s="64" t="s">
        <v>3037</v>
      </c>
    </row>
    <row r="1268" spans="3:6" ht="25.5">
      <c r="C1268" s="64" t="s">
        <v>3038</v>
      </c>
      <c r="D1268" s="64" t="s">
        <v>3038</v>
      </c>
      <c r="E1268" s="64" t="s">
        <v>3039</v>
      </c>
      <c r="F1268" s="64" t="s">
        <v>3040</v>
      </c>
    </row>
    <row r="1269" spans="3:6">
      <c r="C1269" s="64" t="s">
        <v>3041</v>
      </c>
      <c r="D1269" s="64" t="s">
        <v>3041</v>
      </c>
      <c r="E1269" s="64" t="s">
        <v>3042</v>
      </c>
      <c r="F1269" s="64" t="s">
        <v>3043</v>
      </c>
    </row>
    <row r="1270" spans="3:6" ht="25.5">
      <c r="C1270" s="64" t="s">
        <v>3044</v>
      </c>
      <c r="D1270" s="64" t="s">
        <v>3044</v>
      </c>
      <c r="E1270" s="64" t="s">
        <v>3045</v>
      </c>
      <c r="F1270" s="64" t="s">
        <v>3046</v>
      </c>
    </row>
    <row r="1271" spans="3:6" ht="25.5">
      <c r="C1271" s="64" t="s">
        <v>3047</v>
      </c>
      <c r="D1271" s="64" t="s">
        <v>3047</v>
      </c>
      <c r="E1271" s="64" t="s">
        <v>3048</v>
      </c>
      <c r="F1271" s="64" t="s">
        <v>3049</v>
      </c>
    </row>
    <row r="1272" spans="3:6" ht="25.5">
      <c r="C1272" s="64" t="s">
        <v>3050</v>
      </c>
      <c r="D1272" s="64" t="s">
        <v>3050</v>
      </c>
      <c r="E1272" s="64" t="s">
        <v>3051</v>
      </c>
      <c r="F1272" s="64" t="s">
        <v>3052</v>
      </c>
    </row>
    <row r="1273" spans="3:6">
      <c r="C1273" s="64" t="s">
        <v>3053</v>
      </c>
      <c r="D1273" s="64" t="s">
        <v>3053</v>
      </c>
      <c r="E1273" s="64" t="s">
        <v>3053</v>
      </c>
      <c r="F1273" s="64" t="s">
        <v>3053</v>
      </c>
    </row>
    <row r="1274" spans="3:6" ht="25.5">
      <c r="C1274" s="64" t="s">
        <v>3054</v>
      </c>
      <c r="D1274" s="64" t="s">
        <v>3055</v>
      </c>
      <c r="E1274" s="64" t="s">
        <v>3056</v>
      </c>
      <c r="F1274" s="64" t="s">
        <v>3057</v>
      </c>
    </row>
    <row r="1275" spans="3:6" ht="25.5">
      <c r="C1275" s="64" t="s">
        <v>3058</v>
      </c>
      <c r="D1275" s="64" t="s">
        <v>3059</v>
      </c>
      <c r="E1275" s="64" t="s">
        <v>3060</v>
      </c>
      <c r="F1275" s="64" t="s">
        <v>3061</v>
      </c>
    </row>
    <row r="1276" spans="3:6" ht="25.5">
      <c r="C1276" s="64" t="s">
        <v>3062</v>
      </c>
      <c r="D1276" s="64" t="s">
        <v>3063</v>
      </c>
      <c r="E1276" s="64" t="s">
        <v>3064</v>
      </c>
      <c r="F1276" s="64" t="s">
        <v>3065</v>
      </c>
    </row>
    <row r="1277" spans="3:6" ht="25.5">
      <c r="C1277" s="64" t="s">
        <v>3066</v>
      </c>
      <c r="D1277" s="64" t="s">
        <v>3067</v>
      </c>
      <c r="E1277" s="64" t="s">
        <v>3068</v>
      </c>
      <c r="F1277" s="64" t="s">
        <v>3069</v>
      </c>
    </row>
    <row r="1278" spans="3:6">
      <c r="C1278" s="20" t="s">
        <v>3070</v>
      </c>
      <c r="D1278" s="20" t="s">
        <v>3070</v>
      </c>
      <c r="E1278" s="20" t="s">
        <v>3071</v>
      </c>
      <c r="F1278" s="20" t="s">
        <v>3072</v>
      </c>
    </row>
    <row r="1279" spans="3:6">
      <c r="C1279" s="64" t="s">
        <v>3073</v>
      </c>
      <c r="D1279" s="64" t="s">
        <v>3073</v>
      </c>
      <c r="E1279" s="64" t="s">
        <v>3074</v>
      </c>
      <c r="F1279" s="64" t="s">
        <v>3075</v>
      </c>
    </row>
    <row r="1280" spans="3:6">
      <c r="C1280" s="64" t="s">
        <v>3076</v>
      </c>
      <c r="D1280" s="64" t="s">
        <v>3076</v>
      </c>
      <c r="E1280" s="64" t="s">
        <v>3077</v>
      </c>
      <c r="F1280" s="64" t="s">
        <v>3078</v>
      </c>
    </row>
    <row r="1281" spans="3:6">
      <c r="C1281" s="64" t="s">
        <v>3079</v>
      </c>
      <c r="D1281" s="64" t="s">
        <v>3079</v>
      </c>
      <c r="E1281" s="64" t="s">
        <v>3080</v>
      </c>
      <c r="F1281" s="64" t="s">
        <v>3081</v>
      </c>
    </row>
    <row r="1282" spans="3:6">
      <c r="C1282" s="64" t="s">
        <v>3082</v>
      </c>
      <c r="D1282" s="64" t="s">
        <v>3082</v>
      </c>
      <c r="E1282" s="64" t="s">
        <v>3083</v>
      </c>
      <c r="F1282" s="64" t="s">
        <v>3084</v>
      </c>
    </row>
    <row r="1283" spans="3:6">
      <c r="C1283" s="64" t="s">
        <v>3085</v>
      </c>
      <c r="D1283" s="64" t="s">
        <v>3085</v>
      </c>
      <c r="E1283" s="64" t="s">
        <v>3086</v>
      </c>
      <c r="F1283" s="64" t="s">
        <v>3087</v>
      </c>
    </row>
    <row r="1284" spans="3:6">
      <c r="C1284" s="401" t="s">
        <v>3088</v>
      </c>
      <c r="D1284" s="401" t="s">
        <v>3088</v>
      </c>
      <c r="E1284" s="401" t="s">
        <v>3089</v>
      </c>
      <c r="F1284" s="64" t="s">
        <v>3090</v>
      </c>
    </row>
    <row r="1285" spans="3:6">
      <c r="C1285" s="59" t="s">
        <v>3091</v>
      </c>
      <c r="D1285" s="59" t="s">
        <v>3092</v>
      </c>
      <c r="E1285" s="8" t="s">
        <v>3093</v>
      </c>
      <c r="F1285" s="182" t="s">
        <v>1549</v>
      </c>
    </row>
    <row r="1286" spans="3:6">
      <c r="C1286" s="59" t="s">
        <v>3094</v>
      </c>
      <c r="D1286" s="59" t="s">
        <v>3095</v>
      </c>
      <c r="E1286" s="8" t="s">
        <v>3096</v>
      </c>
      <c r="F1286" s="182" t="s">
        <v>1557</v>
      </c>
    </row>
    <row r="1287" spans="3:6">
      <c r="C1287" s="64" t="s">
        <v>3097</v>
      </c>
      <c r="D1287" s="64" t="s">
        <v>3097</v>
      </c>
      <c r="E1287" s="64" t="s">
        <v>3098</v>
      </c>
      <c r="F1287" s="64" t="s">
        <v>1560</v>
      </c>
    </row>
    <row r="1288" spans="3:6">
      <c r="C1288" s="64" t="s">
        <v>1564</v>
      </c>
      <c r="D1288" s="64" t="s">
        <v>1564</v>
      </c>
      <c r="E1288" s="64" t="s">
        <v>1565</v>
      </c>
      <c r="F1288" s="64" t="s">
        <v>1566</v>
      </c>
    </row>
    <row r="1289" spans="3:6">
      <c r="C1289" s="64" t="s">
        <v>1582</v>
      </c>
      <c r="D1289" s="64" t="s">
        <v>1582</v>
      </c>
      <c r="E1289" s="64" t="s">
        <v>1583</v>
      </c>
      <c r="F1289" s="64" t="s">
        <v>1584</v>
      </c>
    </row>
    <row r="1290" spans="3:6">
      <c r="C1290" s="64" t="s">
        <v>1600</v>
      </c>
      <c r="D1290" s="64" t="s">
        <v>1600</v>
      </c>
      <c r="E1290" s="64" t="s">
        <v>1601</v>
      </c>
      <c r="F1290" s="64" t="s">
        <v>1602</v>
      </c>
    </row>
    <row r="1291" spans="3:6" ht="25.5">
      <c r="C1291" s="64" t="s">
        <v>1618</v>
      </c>
      <c r="D1291" s="64" t="s">
        <v>1618</v>
      </c>
      <c r="E1291" s="64" t="s">
        <v>1619</v>
      </c>
      <c r="F1291" s="64" t="s">
        <v>1620</v>
      </c>
    </row>
    <row r="1292" spans="3:6" ht="25.5">
      <c r="C1292" s="64" t="s">
        <v>1637</v>
      </c>
      <c r="D1292" s="64" t="s">
        <v>1637</v>
      </c>
      <c r="E1292" s="64" t="s">
        <v>1638</v>
      </c>
      <c r="F1292" s="64" t="s">
        <v>1639</v>
      </c>
    </row>
    <row r="1293" spans="3:6">
      <c r="C1293" s="8" t="s">
        <v>3099</v>
      </c>
      <c r="D1293" s="8" t="s">
        <v>3099</v>
      </c>
      <c r="E1293" s="8" t="s">
        <v>3100</v>
      </c>
      <c r="F1293" s="8" t="s">
        <v>1645</v>
      </c>
    </row>
    <row r="1294" spans="3:6">
      <c r="C1294" s="64" t="s">
        <v>1657</v>
      </c>
      <c r="D1294" s="64" t="s">
        <v>1657</v>
      </c>
      <c r="E1294" s="64" t="s">
        <v>1658</v>
      </c>
      <c r="F1294" s="64" t="s">
        <v>1659</v>
      </c>
    </row>
    <row r="1295" spans="3:6" ht="38.25">
      <c r="C1295" s="64" t="s">
        <v>3101</v>
      </c>
      <c r="D1295" s="64" t="s">
        <v>1672</v>
      </c>
      <c r="E1295" s="64" t="s">
        <v>1673</v>
      </c>
      <c r="F1295" s="64" t="s">
        <v>1674</v>
      </c>
    </row>
    <row r="1296" spans="3:6">
      <c r="C1296" s="8" t="s">
        <v>3102</v>
      </c>
      <c r="D1296" s="8" t="s">
        <v>3102</v>
      </c>
      <c r="E1296" s="8" t="s">
        <v>3103</v>
      </c>
      <c r="F1296" s="8" t="s">
        <v>1692</v>
      </c>
    </row>
    <row r="1297" spans="3:6">
      <c r="C1297" s="64" t="s">
        <v>3104</v>
      </c>
      <c r="D1297" s="64" t="s">
        <v>3104</v>
      </c>
      <c r="E1297" s="64" t="s">
        <v>3105</v>
      </c>
      <c r="F1297" s="64" t="s">
        <v>1716</v>
      </c>
    </row>
    <row r="1298" spans="3:6">
      <c r="C1298" s="64" t="s">
        <v>3106</v>
      </c>
      <c r="D1298" s="64" t="s">
        <v>3106</v>
      </c>
      <c r="E1298" s="64" t="s">
        <v>3107</v>
      </c>
      <c r="F1298" s="64" t="s">
        <v>1737</v>
      </c>
    </row>
    <row r="1299" spans="3:6" ht="25.5">
      <c r="C1299" s="64" t="s">
        <v>3108</v>
      </c>
      <c r="D1299" s="64" t="s">
        <v>3108</v>
      </c>
      <c r="E1299" s="64" t="s">
        <v>3109</v>
      </c>
      <c r="F1299" s="64" t="s">
        <v>3110</v>
      </c>
    </row>
    <row r="1300" spans="3:6">
      <c r="C1300" s="20" t="s">
        <v>3111</v>
      </c>
      <c r="D1300" s="20" t="s">
        <v>3111</v>
      </c>
      <c r="E1300" s="20" t="s">
        <v>3112</v>
      </c>
      <c r="F1300" s="20" t="s">
        <v>3113</v>
      </c>
    </row>
    <row r="1301" spans="3:6" ht="25.5">
      <c r="C1301" s="64" t="s">
        <v>3114</v>
      </c>
      <c r="D1301" s="64" t="s">
        <v>3114</v>
      </c>
      <c r="E1301" s="64" t="s">
        <v>3115</v>
      </c>
      <c r="F1301" s="64" t="s">
        <v>3116</v>
      </c>
    </row>
    <row r="1302" spans="3:6" ht="38.25">
      <c r="C1302" s="64" t="s">
        <v>3117</v>
      </c>
      <c r="D1302" s="64" t="s">
        <v>3117</v>
      </c>
      <c r="E1302" s="64" t="s">
        <v>3118</v>
      </c>
      <c r="F1302" s="64" t="s">
        <v>3119</v>
      </c>
    </row>
    <row r="1303" spans="3:6" ht="38.25">
      <c r="C1303" s="64" t="s">
        <v>3120</v>
      </c>
      <c r="D1303" s="64" t="s">
        <v>3120</v>
      </c>
      <c r="E1303" s="64" t="s">
        <v>3121</v>
      </c>
      <c r="F1303" s="64" t="s">
        <v>3122</v>
      </c>
    </row>
    <row r="1304" spans="3:6" ht="51">
      <c r="C1304" s="64" t="s">
        <v>3123</v>
      </c>
      <c r="D1304" s="64" t="s">
        <v>3124</v>
      </c>
      <c r="E1304" s="64" t="s">
        <v>3125</v>
      </c>
      <c r="F1304" s="64" t="s">
        <v>3126</v>
      </c>
    </row>
    <row r="1305" spans="3:6" ht="51">
      <c r="C1305" s="64" t="s">
        <v>3127</v>
      </c>
      <c r="D1305" s="64" t="s">
        <v>3127</v>
      </c>
      <c r="E1305" s="64" t="s">
        <v>3128</v>
      </c>
      <c r="F1305" s="64" t="s">
        <v>3129</v>
      </c>
    </row>
    <row r="1306" spans="3:6" ht="38.25">
      <c r="C1306" s="64" t="s">
        <v>3130</v>
      </c>
      <c r="D1306" s="64" t="s">
        <v>3130</v>
      </c>
      <c r="E1306" s="64" t="s">
        <v>3131</v>
      </c>
      <c r="F1306" s="64" t="s">
        <v>3132</v>
      </c>
    </row>
    <row r="1307" spans="3:6" ht="51">
      <c r="C1307" s="64" t="s">
        <v>3133</v>
      </c>
      <c r="D1307" s="64" t="s">
        <v>3133</v>
      </c>
      <c r="E1307" s="64" t="s">
        <v>3134</v>
      </c>
      <c r="F1307" s="64" t="s">
        <v>3135</v>
      </c>
    </row>
    <row r="1308" spans="3:6">
      <c r="C1308" s="315" t="s">
        <v>3136</v>
      </c>
      <c r="D1308" s="315" t="s">
        <v>3137</v>
      </c>
      <c r="E1308" s="315" t="s">
        <v>3138</v>
      </c>
      <c r="F1308" s="315" t="s">
        <v>3139</v>
      </c>
    </row>
    <row r="1309" spans="3:6">
      <c r="C1309" s="64" t="s">
        <v>3140</v>
      </c>
      <c r="D1309" s="64" t="s">
        <v>3140</v>
      </c>
      <c r="E1309" s="64" t="s">
        <v>1565</v>
      </c>
      <c r="F1309" s="64" t="s">
        <v>1566</v>
      </c>
    </row>
    <row r="1310" spans="3:6" ht="25.5">
      <c r="C1310" s="64" t="s">
        <v>3141</v>
      </c>
      <c r="D1310" s="64" t="s">
        <v>3141</v>
      </c>
      <c r="E1310" s="64" t="s">
        <v>3142</v>
      </c>
      <c r="F1310" s="64" t="s">
        <v>3143</v>
      </c>
    </row>
    <row r="1311" spans="3:6">
      <c r="C1311" s="64" t="s">
        <v>3144</v>
      </c>
      <c r="D1311" s="64" t="s">
        <v>3144</v>
      </c>
      <c r="E1311" s="64" t="s">
        <v>3145</v>
      </c>
      <c r="F1311" s="64" t="s">
        <v>3146</v>
      </c>
    </row>
    <row r="1312" spans="3:6" ht="25.5">
      <c r="C1312" s="64" t="s">
        <v>3147</v>
      </c>
      <c r="D1312" s="64" t="s">
        <v>3148</v>
      </c>
      <c r="E1312" s="64" t="s">
        <v>3149</v>
      </c>
      <c r="F1312" s="64" t="s">
        <v>3150</v>
      </c>
    </row>
    <row r="1313" spans="3:6">
      <c r="C1313" s="64" t="s">
        <v>3151</v>
      </c>
      <c r="D1313" s="64" t="s">
        <v>3151</v>
      </c>
      <c r="E1313" s="64" t="s">
        <v>3152</v>
      </c>
      <c r="F1313" s="64" t="s">
        <v>1645</v>
      </c>
    </row>
    <row r="1314" spans="3:6" ht="25.5">
      <c r="C1314" s="64" t="s">
        <v>3153</v>
      </c>
      <c r="D1314" s="64" t="s">
        <v>3153</v>
      </c>
      <c r="E1314" s="64" t="s">
        <v>3154</v>
      </c>
      <c r="F1314" s="64" t="s">
        <v>3155</v>
      </c>
    </row>
    <row r="1315" spans="3:6" ht="25.5">
      <c r="C1315" s="64" t="s">
        <v>3156</v>
      </c>
      <c r="D1315" s="64" t="s">
        <v>3157</v>
      </c>
      <c r="E1315" s="64" t="s">
        <v>3158</v>
      </c>
      <c r="F1315" s="64" t="s">
        <v>3159</v>
      </c>
    </row>
    <row r="1316" spans="3:6">
      <c r="C1316" s="64" t="s">
        <v>3160</v>
      </c>
      <c r="D1316" s="64" t="s">
        <v>3160</v>
      </c>
      <c r="E1316" s="64" t="s">
        <v>3161</v>
      </c>
      <c r="F1316" s="64" t="s">
        <v>1951</v>
      </c>
    </row>
    <row r="1317" spans="3:6">
      <c r="C1317" s="64" t="s">
        <v>3162</v>
      </c>
      <c r="D1317" s="64" t="s">
        <v>3163</v>
      </c>
      <c r="E1317" s="64" t="s">
        <v>3164</v>
      </c>
      <c r="F1317" s="64" t="s">
        <v>3162</v>
      </c>
    </row>
    <row r="1318" spans="3:6">
      <c r="C1318" s="64" t="s">
        <v>3165</v>
      </c>
      <c r="D1318" s="64" t="s">
        <v>3165</v>
      </c>
      <c r="E1318" s="315" t="s">
        <v>3166</v>
      </c>
      <c r="F1318" s="64" t="s">
        <v>3167</v>
      </c>
    </row>
    <row r="1319" spans="3:6">
      <c r="C1319" s="64" t="s">
        <v>3168</v>
      </c>
      <c r="D1319" s="64" t="s">
        <v>3168</v>
      </c>
      <c r="E1319" s="64" t="s">
        <v>1962</v>
      </c>
      <c r="F1319" s="64" t="s">
        <v>1963</v>
      </c>
    </row>
    <row r="1320" spans="3:6">
      <c r="C1320" s="64" t="s">
        <v>3169</v>
      </c>
      <c r="D1320" s="64" t="s">
        <v>3169</v>
      </c>
      <c r="E1320" s="64" t="s">
        <v>3170</v>
      </c>
      <c r="F1320" s="64" t="s">
        <v>3171</v>
      </c>
    </row>
    <row r="1321" spans="3:6" ht="25.5">
      <c r="C1321" s="64" t="s">
        <v>3172</v>
      </c>
      <c r="D1321" s="64" t="s">
        <v>3172</v>
      </c>
      <c r="E1321" s="64" t="s">
        <v>3173</v>
      </c>
      <c r="F1321" s="64" t="s">
        <v>3174</v>
      </c>
    </row>
    <row r="1322" spans="3:6">
      <c r="C1322" s="64" t="s">
        <v>3175</v>
      </c>
      <c r="D1322" s="64" t="s">
        <v>3175</v>
      </c>
      <c r="E1322" s="64" t="s">
        <v>3176</v>
      </c>
      <c r="F1322" s="64" t="s">
        <v>3177</v>
      </c>
    </row>
    <row r="1323" spans="3:6">
      <c r="C1323" s="64" t="s">
        <v>3178</v>
      </c>
      <c r="D1323" s="64" t="s">
        <v>3178</v>
      </c>
      <c r="E1323" s="64" t="s">
        <v>3074</v>
      </c>
      <c r="F1323" s="64" t="s">
        <v>3075</v>
      </c>
    </row>
    <row r="1333" spans="3:6" ht="35.25" customHeight="1">
      <c r="C1333" s="107" t="s">
        <v>3179</v>
      </c>
      <c r="E1333" s="64"/>
    </row>
    <row r="1334" spans="3:6">
      <c r="E1334" s="64"/>
    </row>
    <row r="1335" spans="3:6" ht="63.75">
      <c r="C1335" s="64">
        <v>15.5</v>
      </c>
      <c r="D1335" s="169" t="s">
        <v>3180</v>
      </c>
      <c r="E1335" s="169" t="s">
        <v>3181</v>
      </c>
      <c r="F1335" s="169" t="s">
        <v>154</v>
      </c>
    </row>
    <row r="1336" spans="3:6" ht="140.25">
      <c r="C1336" s="64">
        <v>17.5</v>
      </c>
      <c r="D1336" s="169" t="s">
        <v>3182</v>
      </c>
      <c r="E1336" s="169" t="s">
        <v>3183</v>
      </c>
      <c r="F1336" s="253" t="s">
        <v>3184</v>
      </c>
    </row>
    <row r="1337" spans="3:6">
      <c r="C1337" s="64">
        <v>167.1</v>
      </c>
      <c r="D1337" s="64" t="s">
        <v>3185</v>
      </c>
      <c r="E1337" s="64" t="s">
        <v>3186</v>
      </c>
      <c r="F1337" s="64" t="s">
        <v>3187</v>
      </c>
    </row>
    <row r="1338" spans="3:6">
      <c r="C1338" s="64">
        <v>167.2</v>
      </c>
      <c r="D1338" s="64" t="s">
        <v>3188</v>
      </c>
      <c r="E1338" s="64" t="s">
        <v>3189</v>
      </c>
      <c r="F1338" s="64" t="s">
        <v>3189</v>
      </c>
    </row>
    <row r="1339" spans="3:6">
      <c r="C1339" s="64">
        <v>167.3</v>
      </c>
      <c r="D1339" s="64" t="s">
        <v>3190</v>
      </c>
      <c r="E1339" s="64" t="s">
        <v>3191</v>
      </c>
      <c r="F1339" s="64" t="s">
        <v>3192</v>
      </c>
    </row>
    <row r="1340" spans="3:6" ht="25.5">
      <c r="C1340" s="64">
        <v>167.4</v>
      </c>
      <c r="D1340" s="64" t="s">
        <v>3193</v>
      </c>
      <c r="E1340" s="64" t="s">
        <v>3194</v>
      </c>
      <c r="F1340" s="283" t="s">
        <v>3195</v>
      </c>
    </row>
    <row r="1341" spans="3:6">
      <c r="C1341" s="64">
        <v>167.5</v>
      </c>
      <c r="D1341" s="64" t="s">
        <v>3196</v>
      </c>
      <c r="E1341" s="64" t="s">
        <v>3197</v>
      </c>
      <c r="F1341" s="64" t="s">
        <v>3198</v>
      </c>
    </row>
    <row r="1342" spans="3:6">
      <c r="C1342" s="64">
        <v>167.6</v>
      </c>
      <c r="D1342" s="64" t="s">
        <v>3199</v>
      </c>
      <c r="E1342" s="64" t="s">
        <v>3199</v>
      </c>
    </row>
    <row r="1343" spans="3:6" ht="25.5">
      <c r="C1343" s="64">
        <v>242.5</v>
      </c>
      <c r="D1343" s="64" t="s">
        <v>3200</v>
      </c>
      <c r="E1343" s="64" t="s">
        <v>3201</v>
      </c>
      <c r="F1343" s="169" t="s">
        <v>3202</v>
      </c>
    </row>
    <row r="1344" spans="3:6">
      <c r="C1344" s="64">
        <v>269.10000000000002</v>
      </c>
      <c r="D1344" s="64" t="s">
        <v>3203</v>
      </c>
      <c r="E1344" s="312" t="s">
        <v>3204</v>
      </c>
      <c r="F1344" s="64" t="s">
        <v>3205</v>
      </c>
    </row>
    <row r="1345" spans="3:6">
      <c r="C1345" s="64">
        <v>269.2</v>
      </c>
      <c r="D1345" s="64" t="s">
        <v>3206</v>
      </c>
      <c r="E1345" s="312" t="s">
        <v>3207</v>
      </c>
      <c r="F1345" s="64" t="s">
        <v>3208</v>
      </c>
    </row>
    <row r="1346" spans="3:6">
      <c r="C1346" s="64">
        <v>269.3</v>
      </c>
      <c r="D1346" s="64" t="s">
        <v>3209</v>
      </c>
      <c r="E1346" s="64" t="s">
        <v>3210</v>
      </c>
      <c r="F1346" s="64" t="s">
        <v>3211</v>
      </c>
    </row>
    <row r="1347" spans="3:6" ht="127.5">
      <c r="C1347" s="64">
        <v>269.39999999999998</v>
      </c>
      <c r="D1347" s="64" t="s">
        <v>3212</v>
      </c>
      <c r="E1347" s="64" t="s">
        <v>3213</v>
      </c>
      <c r="F1347" s="64" t="s">
        <v>3214</v>
      </c>
    </row>
    <row r="1348" spans="3:6">
      <c r="C1348" s="64">
        <v>281.5</v>
      </c>
      <c r="D1348" s="64" t="s">
        <v>3215</v>
      </c>
      <c r="E1348" s="64" t="s">
        <v>3216</v>
      </c>
      <c r="F1348" s="64" t="s">
        <v>3217</v>
      </c>
    </row>
    <row r="1349" spans="3:6">
      <c r="C1349" s="64">
        <v>325.39999999999998</v>
      </c>
      <c r="D1349" s="64" t="s">
        <v>3218</v>
      </c>
      <c r="E1349" s="64"/>
    </row>
    <row r="1350" spans="3:6">
      <c r="C1350" s="64">
        <v>325.5</v>
      </c>
      <c r="D1350" s="64" t="s">
        <v>3219</v>
      </c>
      <c r="E1350" s="64"/>
    </row>
    <row r="1351" spans="3:6" ht="19.5">
      <c r="C1351" s="73">
        <v>328.5</v>
      </c>
      <c r="D1351" s="64" t="s">
        <v>3220</v>
      </c>
      <c r="E1351" s="64" t="s">
        <v>3221</v>
      </c>
      <c r="F1351" s="64" t="s">
        <v>3222</v>
      </c>
    </row>
    <row r="1352" spans="3:6" ht="25.5">
      <c r="C1352" s="64">
        <v>394.1</v>
      </c>
      <c r="D1352" s="283" t="s">
        <v>3223</v>
      </c>
      <c r="E1352" s="283" t="s">
        <v>3224</v>
      </c>
      <c r="F1352" s="64" t="s">
        <v>3225</v>
      </c>
    </row>
    <row r="1353" spans="3:6" ht="25.5">
      <c r="C1353" s="64">
        <v>394.11</v>
      </c>
      <c r="D1353" s="283" t="s">
        <v>3226</v>
      </c>
      <c r="E1353" s="283" t="s">
        <v>3227</v>
      </c>
      <c r="F1353" s="64" t="s">
        <v>3228</v>
      </c>
    </row>
    <row r="1354" spans="3:6" ht="25.5">
      <c r="C1354" s="64">
        <v>394.12</v>
      </c>
      <c r="D1354" s="283" t="s">
        <v>3229</v>
      </c>
      <c r="E1354" s="283" t="s">
        <v>3224</v>
      </c>
      <c r="F1354" s="64" t="s">
        <v>3230</v>
      </c>
    </row>
    <row r="1355" spans="3:6" ht="25.5">
      <c r="C1355" s="64">
        <v>394.2</v>
      </c>
      <c r="D1355" s="283" t="s">
        <v>3231</v>
      </c>
      <c r="E1355" s="64" t="s">
        <v>3232</v>
      </c>
      <c r="F1355" s="283" t="s">
        <v>3233</v>
      </c>
    </row>
    <row r="1356" spans="3:6" ht="25.5">
      <c r="C1356" s="64">
        <v>394.3</v>
      </c>
      <c r="D1356" s="283" t="s">
        <v>3234</v>
      </c>
      <c r="E1356" s="64" t="s">
        <v>3235</v>
      </c>
      <c r="F1356" s="283" t="s">
        <v>3236</v>
      </c>
    </row>
    <row r="1357" spans="3:6">
      <c r="C1357" s="64">
        <v>463.1</v>
      </c>
      <c r="D1357" s="64" t="s">
        <v>575</v>
      </c>
      <c r="E1357" s="64" t="s">
        <v>1646</v>
      </c>
      <c r="F1357" s="64" t="s">
        <v>3237</v>
      </c>
    </row>
    <row r="1358" spans="3:6">
      <c r="C1358" s="64">
        <v>463.2</v>
      </c>
      <c r="D1358" s="64" t="s">
        <v>574</v>
      </c>
      <c r="E1358" s="64" t="s">
        <v>1928</v>
      </c>
      <c r="F1358" s="64" t="s">
        <v>3238</v>
      </c>
    </row>
    <row r="1359" spans="3:6">
      <c r="C1359" s="64">
        <v>465.11</v>
      </c>
      <c r="D1359" s="64" t="s">
        <v>3239</v>
      </c>
      <c r="E1359" s="64"/>
    </row>
    <row r="1360" spans="3:6">
      <c r="C1360" s="64">
        <v>465.12</v>
      </c>
      <c r="D1360" s="64" t="s">
        <v>3240</v>
      </c>
      <c r="E1360" s="169" t="s">
        <v>3241</v>
      </c>
      <c r="F1360" s="64" t="s">
        <v>3242</v>
      </c>
    </row>
    <row r="1361" spans="3:6">
      <c r="C1361" s="64">
        <v>465.13</v>
      </c>
      <c r="E1361" s="64"/>
    </row>
    <row r="1362" spans="3:6">
      <c r="C1362" s="64">
        <v>465.14</v>
      </c>
      <c r="E1362" s="64"/>
    </row>
    <row r="1363" spans="3:6" ht="25.5">
      <c r="C1363" s="64">
        <v>402.1</v>
      </c>
      <c r="D1363" s="169" t="s">
        <v>3243</v>
      </c>
      <c r="E1363" s="169" t="s">
        <v>3244</v>
      </c>
      <c r="F1363" s="169" t="s">
        <v>3245</v>
      </c>
    </row>
    <row r="1364" spans="3:6" ht="102">
      <c r="C1364" s="64">
        <v>402.2</v>
      </c>
      <c r="D1364" s="64" t="s">
        <v>3246</v>
      </c>
      <c r="E1364" s="64" t="s">
        <v>3247</v>
      </c>
      <c r="F1364" s="64" t="s">
        <v>3248</v>
      </c>
    </row>
    <row r="1365" spans="3:6">
      <c r="C1365" s="64">
        <v>426.05</v>
      </c>
      <c r="D1365" s="64" t="s">
        <v>3249</v>
      </c>
      <c r="E1365" s="64" t="s">
        <v>3250</v>
      </c>
      <c r="F1365" s="64" t="s">
        <v>3251</v>
      </c>
    </row>
    <row r="1366" spans="3:6">
      <c r="C1366" s="64">
        <v>426.1</v>
      </c>
      <c r="D1366" s="64" t="s">
        <v>3252</v>
      </c>
      <c r="E1366" s="64" t="s">
        <v>3253</v>
      </c>
      <c r="F1366" s="64" t="s">
        <v>3254</v>
      </c>
    </row>
    <row r="1367" spans="3:6">
      <c r="C1367" s="64">
        <v>426.2</v>
      </c>
      <c r="D1367" s="64" t="s">
        <v>3255</v>
      </c>
      <c r="E1367" s="64" t="s">
        <v>3256</v>
      </c>
      <c r="F1367" s="64" t="s">
        <v>3257</v>
      </c>
    </row>
    <row r="1368" spans="3:6">
      <c r="C1368" s="64">
        <v>426.3</v>
      </c>
      <c r="D1368" s="64" t="s">
        <v>121</v>
      </c>
      <c r="E1368" s="64" t="s">
        <v>3258</v>
      </c>
      <c r="F1368" s="64" t="s">
        <v>3259</v>
      </c>
    </row>
    <row r="1369" spans="3:6">
      <c r="C1369" s="64">
        <v>464.1</v>
      </c>
      <c r="D1369" s="64" t="str">
        <f t="shared" ref="D1369:F1372" si="1">D330</f>
        <v>Floating rate</v>
      </c>
      <c r="E1369" s="64" t="str">
        <f t="shared" si="1"/>
        <v>Variabel verzinslich</v>
      </c>
      <c r="F1369" s="64" t="str">
        <f t="shared" si="1"/>
        <v>Variable</v>
      </c>
    </row>
    <row r="1370" spans="3:6">
      <c r="C1370" s="64">
        <v>464.2</v>
      </c>
      <c r="D1370" s="64" t="str">
        <f t="shared" si="1"/>
        <v>Fixed rate with reset &lt;2 years</v>
      </c>
      <c r="E1370" s="64" t="str">
        <f t="shared" si="1"/>
        <v>Fest verzinslich; Zinsanpassung nach &lt;2 Jahren</v>
      </c>
      <c r="F1370" s="64" t="str">
        <f>F331</f>
        <v>Fijo cambiando a variable &lt; 2 años</v>
      </c>
    </row>
    <row r="1371" spans="3:6" ht="25.5">
      <c r="C1371" s="64">
        <v>464.3</v>
      </c>
      <c r="D1371" s="64" t="str">
        <f t="shared" si="1"/>
        <v>Fixed rate with reset  ≥2 but &lt; 5 years</v>
      </c>
      <c r="E1371" s="64" t="str">
        <f t="shared" si="1"/>
        <v>Fest verzinslich; Zinsanpassung nach &gt;2 aber &lt; 5 Jahren</v>
      </c>
      <c r="F1371" s="64" t="str">
        <f>F332</f>
        <v>Fijo cambiando a variable ≥ 2 años y &lt; 5años</v>
      </c>
    </row>
    <row r="1372" spans="3:6">
      <c r="C1372" s="64">
        <v>464.4</v>
      </c>
      <c r="D1372" s="64" t="str">
        <f t="shared" si="1"/>
        <v>Fixed rate with reset ≥5 years</v>
      </c>
      <c r="E1372" s="64" t="str">
        <f t="shared" si="1"/>
        <v>Fest verzinslich; Zinsanpassung nach &gt;5 Jahren</v>
      </c>
      <c r="F1372" s="64" t="str">
        <f>F333</f>
        <v>Fijo o fijo con variable a ≥ 5 años</v>
      </c>
    </row>
    <row r="1373" spans="3:6">
      <c r="E1373" s="64"/>
    </row>
    <row r="1374" spans="3:6" ht="19.5">
      <c r="C1374" s="64">
        <v>490.1</v>
      </c>
      <c r="D1374" s="95" t="s">
        <v>3260</v>
      </c>
      <c r="E1374" s="95" t="s">
        <v>3261</v>
      </c>
      <c r="F1374" s="95" t="s">
        <v>3262</v>
      </c>
    </row>
    <row r="1375" spans="3:6">
      <c r="C1375" s="64">
        <v>490.2</v>
      </c>
      <c r="D1375" s="150" t="s">
        <v>1561</v>
      </c>
      <c r="E1375" s="321" t="s">
        <v>1562</v>
      </c>
      <c r="F1375" s="160" t="s">
        <v>1563</v>
      </c>
    </row>
    <row r="1376" spans="3:6">
      <c r="E1376" s="64"/>
    </row>
    <row r="1377" spans="3:6" ht="19.5">
      <c r="C1377" s="64">
        <v>491.1</v>
      </c>
      <c r="D1377" s="95" t="s">
        <v>3263</v>
      </c>
      <c r="E1377" s="95" t="s">
        <v>3264</v>
      </c>
      <c r="F1377" s="95" t="s">
        <v>3265</v>
      </c>
    </row>
    <row r="1378" spans="3:6">
      <c r="E1378" s="64"/>
    </row>
    <row r="1379" spans="3:6">
      <c r="E1379" s="64"/>
    </row>
    <row r="1380" spans="3:6">
      <c r="C1380" s="64">
        <v>492.1</v>
      </c>
      <c r="D1380" s="190" t="s">
        <v>3266</v>
      </c>
      <c r="E1380" s="64" t="s">
        <v>3267</v>
      </c>
      <c r="F1380" s="190" t="s">
        <v>3268</v>
      </c>
    </row>
    <row r="1381" spans="3:6">
      <c r="C1381" s="64">
        <v>492.2</v>
      </c>
      <c r="D1381" s="189" t="s">
        <v>3269</v>
      </c>
      <c r="E1381" s="64" t="s">
        <v>3270</v>
      </c>
      <c r="F1381" s="189" t="s">
        <v>3271</v>
      </c>
    </row>
    <row r="1382" spans="3:6">
      <c r="C1382" s="64">
        <v>492.3</v>
      </c>
      <c r="D1382" s="189" t="s">
        <v>3272</v>
      </c>
      <c r="E1382" s="64" t="s">
        <v>3273</v>
      </c>
      <c r="F1382" s="189" t="s">
        <v>3274</v>
      </c>
    </row>
    <row r="1383" spans="3:6">
      <c r="C1383" s="64">
        <v>492.4</v>
      </c>
      <c r="D1383" s="189" t="s">
        <v>3275</v>
      </c>
      <c r="E1383" s="64" t="s">
        <v>3276</v>
      </c>
      <c r="F1383" s="189" t="s">
        <v>3277</v>
      </c>
    </row>
    <row r="1384" spans="3:6">
      <c r="C1384" s="64">
        <v>492.5</v>
      </c>
      <c r="D1384" s="189" t="s">
        <v>3278</v>
      </c>
      <c r="E1384" s="64" t="s">
        <v>3279</v>
      </c>
      <c r="F1384" s="189" t="s">
        <v>3280</v>
      </c>
    </row>
    <row r="1385" spans="3:6">
      <c r="E1385" s="64"/>
    </row>
    <row r="1386" spans="3:6">
      <c r="C1386" s="64">
        <v>493.1</v>
      </c>
      <c r="D1386" s="191" t="s">
        <v>3281</v>
      </c>
      <c r="E1386" s="169" t="s">
        <v>3282</v>
      </c>
      <c r="F1386" s="169" t="s">
        <v>3283</v>
      </c>
    </row>
    <row r="1387" spans="3:6" ht="25.5">
      <c r="C1387" s="64">
        <v>493.2</v>
      </c>
      <c r="D1387" s="191" t="s">
        <v>3284</v>
      </c>
      <c r="E1387" s="169" t="s">
        <v>3285</v>
      </c>
      <c r="F1387" s="169" t="s">
        <v>3286</v>
      </c>
    </row>
    <row r="1388" spans="3:6">
      <c r="C1388" s="64">
        <v>493.3</v>
      </c>
      <c r="D1388" s="191" t="s">
        <v>3287</v>
      </c>
      <c r="E1388" s="169" t="s">
        <v>3288</v>
      </c>
      <c r="F1388" s="169" t="s">
        <v>3289</v>
      </c>
    </row>
    <row r="1389" spans="3:6">
      <c r="C1389" s="64">
        <v>493.4</v>
      </c>
      <c r="D1389" s="191" t="s">
        <v>3290</v>
      </c>
      <c r="E1389" s="169" t="s">
        <v>3291</v>
      </c>
      <c r="F1389" s="169" t="s">
        <v>3292</v>
      </c>
    </row>
    <row r="1390" spans="3:6">
      <c r="E1390" s="64"/>
    </row>
    <row r="1391" spans="3:6">
      <c r="C1391" s="64">
        <v>516.1</v>
      </c>
      <c r="D1391" s="64" t="s">
        <v>3293</v>
      </c>
      <c r="E1391" s="64"/>
    </row>
    <row r="1392" spans="3:6">
      <c r="C1392" s="64">
        <v>518.1</v>
      </c>
      <c r="D1392" s="64" t="s">
        <v>3294</v>
      </c>
      <c r="E1392" s="64" t="s">
        <v>3295</v>
      </c>
      <c r="F1392" s="64" t="s">
        <v>3296</v>
      </c>
    </row>
    <row r="1393" spans="3:6" ht="25.5">
      <c r="C1393" s="64">
        <v>519.1</v>
      </c>
      <c r="D1393" s="64" t="s">
        <v>3297</v>
      </c>
      <c r="E1393" s="64" t="s">
        <v>3298</v>
      </c>
      <c r="F1393" s="64" t="s">
        <v>3299</v>
      </c>
    </row>
    <row r="1394" spans="3:6">
      <c r="C1394" s="64">
        <v>520.1</v>
      </c>
      <c r="E1394" s="64"/>
    </row>
    <row r="1395" spans="3:6">
      <c r="C1395" s="64">
        <v>521.1</v>
      </c>
      <c r="E1395" s="64"/>
    </row>
    <row r="1396" spans="3:6">
      <c r="C1396" s="64">
        <v>522.1</v>
      </c>
      <c r="E1396" s="64"/>
    </row>
    <row r="1397" spans="3:6">
      <c r="C1397" s="64">
        <v>524.5</v>
      </c>
      <c r="D1397" s="64" t="s">
        <v>3300</v>
      </c>
      <c r="E1397" s="64" t="s">
        <v>3301</v>
      </c>
      <c r="F1397" s="264" t="s">
        <v>3302</v>
      </c>
    </row>
    <row r="1398" spans="3:6" ht="25.5">
      <c r="C1398" s="64">
        <v>529.1</v>
      </c>
      <c r="D1398" s="64" t="s">
        <v>3303</v>
      </c>
      <c r="E1398" s="283" t="s">
        <v>3304</v>
      </c>
      <c r="F1398" s="64" t="s">
        <v>3305</v>
      </c>
    </row>
    <row r="1399" spans="3:6">
      <c r="C1399" s="64">
        <v>529.20000000000005</v>
      </c>
      <c r="E1399" s="64"/>
    </row>
    <row r="1400" spans="3:6">
      <c r="C1400" s="64">
        <v>529.29999999999995</v>
      </c>
      <c r="E1400" s="64"/>
    </row>
    <row r="1401" spans="3:6">
      <c r="C1401" s="64">
        <v>530.1</v>
      </c>
      <c r="D1401" s="64" t="s">
        <v>3306</v>
      </c>
      <c r="E1401" s="64" t="s">
        <v>3307</v>
      </c>
      <c r="F1401" s="64" t="s">
        <v>3308</v>
      </c>
    </row>
    <row r="1402" spans="3:6" ht="66" customHeight="1">
      <c r="C1402" s="64">
        <v>530.15</v>
      </c>
      <c r="D1402" s="64" t="s">
        <v>3309</v>
      </c>
      <c r="E1402" s="64" t="s">
        <v>3310</v>
      </c>
      <c r="F1402" s="64" t="s">
        <v>3311</v>
      </c>
    </row>
    <row r="1403" spans="3:6" ht="51">
      <c r="C1403" s="64">
        <v>530.20000000000005</v>
      </c>
      <c r="D1403" s="192" t="s">
        <v>3312</v>
      </c>
      <c r="E1403" s="64" t="s">
        <v>3313</v>
      </c>
      <c r="F1403" s="169" t="s">
        <v>3314</v>
      </c>
    </row>
    <row r="1404" spans="3:6" ht="38.25">
      <c r="C1404" s="64">
        <v>530.29999999999995</v>
      </c>
      <c r="D1404" s="278" t="s">
        <v>3315</v>
      </c>
      <c r="E1404" s="64" t="s">
        <v>3316</v>
      </c>
      <c r="F1404" s="169" t="s">
        <v>3317</v>
      </c>
    </row>
    <row r="1405" spans="3:6">
      <c r="C1405" s="64">
        <v>530.4</v>
      </c>
      <c r="D1405" s="192" t="s">
        <v>3318</v>
      </c>
      <c r="E1405" s="64" t="s">
        <v>3319</v>
      </c>
      <c r="F1405" s="169" t="s">
        <v>3320</v>
      </c>
    </row>
    <row r="1406" spans="3:6" ht="25.5">
      <c r="C1406" s="64">
        <v>530.5</v>
      </c>
      <c r="D1406" s="192" t="s">
        <v>3321</v>
      </c>
      <c r="E1406" s="64" t="s">
        <v>3322</v>
      </c>
      <c r="F1406" s="169" t="s">
        <v>3323</v>
      </c>
    </row>
    <row r="1407" spans="3:6" ht="38.25">
      <c r="C1407" s="64">
        <v>530.6</v>
      </c>
      <c r="D1407" s="192" t="s">
        <v>3324</v>
      </c>
      <c r="E1407" s="64" t="s">
        <v>3325</v>
      </c>
      <c r="F1407" s="64" t="s">
        <v>3326</v>
      </c>
    </row>
    <row r="1408" spans="3:6" ht="38.25">
      <c r="C1408" s="64">
        <v>530.70000000000005</v>
      </c>
      <c r="D1408" s="192" t="s">
        <v>3327</v>
      </c>
      <c r="E1408" s="64" t="s">
        <v>3328</v>
      </c>
      <c r="F1408" s="169" t="s">
        <v>3329</v>
      </c>
    </row>
    <row r="1409" spans="3:6" ht="38.25">
      <c r="C1409" s="64">
        <v>530.79999999999995</v>
      </c>
      <c r="D1409" s="192" t="s">
        <v>3330</v>
      </c>
      <c r="E1409" s="169" t="s">
        <v>1224</v>
      </c>
      <c r="F1409" s="64" t="s">
        <v>3331</v>
      </c>
    </row>
    <row r="1410" spans="3:6" ht="25.5">
      <c r="C1410" s="64">
        <v>530.9</v>
      </c>
      <c r="D1410" s="192" t="s">
        <v>3332</v>
      </c>
      <c r="E1410" s="64" t="s">
        <v>3333</v>
      </c>
      <c r="F1410" s="64" t="s">
        <v>3334</v>
      </c>
    </row>
    <row r="1411" spans="3:6" ht="25.5">
      <c r="C1411" s="64">
        <v>530.95000000000005</v>
      </c>
      <c r="D1411" s="64" t="s">
        <v>3335</v>
      </c>
      <c r="E1411" s="64" t="s">
        <v>3336</v>
      </c>
      <c r="F1411" s="64" t="s">
        <v>3337</v>
      </c>
    </row>
    <row r="1412" spans="3:6" ht="25.5">
      <c r="C1412" s="64">
        <v>530.96</v>
      </c>
      <c r="D1412" s="64" t="s">
        <v>3338</v>
      </c>
      <c r="E1412" s="64" t="s">
        <v>3339</v>
      </c>
      <c r="F1412" s="64" t="s">
        <v>3340</v>
      </c>
    </row>
    <row r="1413" spans="3:6" ht="25.5">
      <c r="C1413" s="64">
        <v>530.97</v>
      </c>
      <c r="D1413" s="64" t="s">
        <v>3341</v>
      </c>
      <c r="E1413" s="64" t="s">
        <v>3342</v>
      </c>
      <c r="F1413" s="64" t="s">
        <v>3343</v>
      </c>
    </row>
    <row r="1414" spans="3:6" ht="25.5">
      <c r="C1414" s="64">
        <v>530.98</v>
      </c>
      <c r="D1414" s="64" t="s">
        <v>3344</v>
      </c>
      <c r="E1414" s="64" t="s">
        <v>3345</v>
      </c>
      <c r="F1414" s="64" t="s">
        <v>3346</v>
      </c>
    </row>
    <row r="1415" spans="3:6" ht="25.5">
      <c r="C1415" s="64">
        <v>530.99</v>
      </c>
      <c r="D1415" s="64" t="s">
        <v>3347</v>
      </c>
      <c r="E1415" s="64" t="s">
        <v>3348</v>
      </c>
      <c r="F1415" s="64" t="s">
        <v>3349</v>
      </c>
    </row>
    <row r="1416" spans="3:6" ht="25.5">
      <c r="C1416" s="64">
        <v>530.99099999999999</v>
      </c>
      <c r="D1416" s="64" t="s">
        <v>3350</v>
      </c>
      <c r="E1416" s="64" t="s">
        <v>3351</v>
      </c>
      <c r="F1416" s="64" t="s">
        <v>3352</v>
      </c>
    </row>
    <row r="1417" spans="3:6" ht="25.5">
      <c r="C1417" s="64">
        <v>530.99199999999996</v>
      </c>
      <c r="D1417" s="192" t="s">
        <v>3353</v>
      </c>
      <c r="E1417" s="192" t="s">
        <v>3354</v>
      </c>
      <c r="F1417" s="192" t="s">
        <v>3355</v>
      </c>
    </row>
    <row r="1418" spans="3:6" ht="25.5">
      <c r="C1418" s="64">
        <v>530.99300000000005</v>
      </c>
      <c r="D1418" s="192" t="s">
        <v>3356</v>
      </c>
      <c r="E1418" s="192" t="s">
        <v>3357</v>
      </c>
      <c r="F1418" s="192" t="s">
        <v>3358</v>
      </c>
    </row>
    <row r="1419" spans="3:6">
      <c r="C1419" s="64">
        <v>530.99310000000003</v>
      </c>
      <c r="D1419" s="192" t="s">
        <v>3359</v>
      </c>
      <c r="E1419" s="192" t="s">
        <v>3360</v>
      </c>
      <c r="F1419" s="267" t="s">
        <v>154</v>
      </c>
    </row>
    <row r="1420" spans="3:6">
      <c r="C1420" s="64">
        <v>530.99400000000003</v>
      </c>
      <c r="D1420" s="64" t="s">
        <v>3361</v>
      </c>
      <c r="E1420" s="64" t="s">
        <v>3362</v>
      </c>
      <c r="F1420" s="64" t="s">
        <v>3363</v>
      </c>
    </row>
    <row r="1421" spans="3:6" ht="25.5">
      <c r="C1421" s="64">
        <v>530.995</v>
      </c>
      <c r="D1421" s="192" t="s">
        <v>3364</v>
      </c>
      <c r="E1421" s="192" t="s">
        <v>3365</v>
      </c>
      <c r="F1421" s="192" t="s">
        <v>3366</v>
      </c>
    </row>
    <row r="1422" spans="3:6" ht="93" customHeight="1">
      <c r="C1422" s="64">
        <v>559.1</v>
      </c>
      <c r="D1422" s="169" t="s">
        <v>3367</v>
      </c>
      <c r="E1422" s="64" t="s">
        <v>3368</v>
      </c>
      <c r="F1422" s="64" t="s">
        <v>3369</v>
      </c>
    </row>
    <row r="1423" spans="3:6" ht="53.25" customHeight="1">
      <c r="C1423" s="64">
        <v>559.11</v>
      </c>
      <c r="D1423" s="64" t="s">
        <v>3370</v>
      </c>
      <c r="E1423" s="64" t="s">
        <v>3371</v>
      </c>
      <c r="F1423" s="64" t="s">
        <v>3372</v>
      </c>
    </row>
    <row r="1424" spans="3:6" ht="53.25" customHeight="1">
      <c r="C1424" s="64">
        <v>559.20000000000005</v>
      </c>
      <c r="D1424" s="64" t="s">
        <v>3373</v>
      </c>
      <c r="E1424" s="64" t="s">
        <v>3374</v>
      </c>
      <c r="F1424" s="64" t="s">
        <v>3375</v>
      </c>
    </row>
    <row r="1425" spans="3:6" ht="53.25" customHeight="1">
      <c r="C1425" s="64">
        <v>559.29999999999995</v>
      </c>
      <c r="D1425" s="64" t="s">
        <v>3376</v>
      </c>
      <c r="E1425" s="64" t="s">
        <v>3377</v>
      </c>
      <c r="F1425" s="64" t="s">
        <v>3378</v>
      </c>
    </row>
    <row r="1426" spans="3:6" ht="53.25" customHeight="1">
      <c r="C1426" s="64">
        <v>559.4</v>
      </c>
      <c r="D1426" s="64" t="s">
        <v>3379</v>
      </c>
      <c r="E1426" s="64" t="s">
        <v>3380</v>
      </c>
      <c r="F1426" s="64" t="s">
        <v>3381</v>
      </c>
    </row>
    <row r="1427" spans="3:6" ht="53.25" customHeight="1">
      <c r="C1427" s="64">
        <v>559.5</v>
      </c>
      <c r="D1427" s="64" t="s">
        <v>3382</v>
      </c>
      <c r="E1427" s="64" t="s">
        <v>3383</v>
      </c>
      <c r="F1427" s="64" t="s">
        <v>3384</v>
      </c>
    </row>
    <row r="1428" spans="3:6" ht="53.25" customHeight="1">
      <c r="C1428" s="64">
        <v>559.6</v>
      </c>
      <c r="D1428" s="64" t="s">
        <v>3385</v>
      </c>
      <c r="E1428" s="64" t="s">
        <v>3386</v>
      </c>
      <c r="F1428" s="64" t="s">
        <v>3387</v>
      </c>
    </row>
    <row r="1429" spans="3:6" ht="53.25" customHeight="1">
      <c r="C1429" s="64">
        <v>559.70000000000005</v>
      </c>
      <c r="D1429" s="64" t="s">
        <v>3388</v>
      </c>
      <c r="E1429" s="64" t="s">
        <v>3389</v>
      </c>
      <c r="F1429" s="169" t="s">
        <v>3390</v>
      </c>
    </row>
    <row r="1430" spans="3:6" ht="53.25" customHeight="1">
      <c r="C1430" s="64">
        <v>559.79999999999995</v>
      </c>
      <c r="D1430" s="64" t="s">
        <v>3391</v>
      </c>
      <c r="E1430" s="64" t="s">
        <v>3392</v>
      </c>
      <c r="F1430" s="64" t="s">
        <v>3391</v>
      </c>
    </row>
    <row r="1431" spans="3:6" ht="53.25" customHeight="1">
      <c r="C1431" s="64">
        <v>559.9</v>
      </c>
      <c r="D1431" s="64" t="s">
        <v>3393</v>
      </c>
      <c r="E1431" s="64" t="s">
        <v>3394</v>
      </c>
      <c r="F1431" s="64" t="s">
        <v>3395</v>
      </c>
    </row>
    <row r="1432" spans="3:6" ht="53.25" customHeight="1">
      <c r="C1432" s="64">
        <v>560.11</v>
      </c>
      <c r="D1432" s="64" t="s">
        <v>3396</v>
      </c>
      <c r="E1432" s="64" t="s">
        <v>3397</v>
      </c>
      <c r="F1432" s="64" t="s">
        <v>3398</v>
      </c>
    </row>
    <row r="1433" spans="3:6">
      <c r="C1433" s="64">
        <v>561.11</v>
      </c>
      <c r="D1433" s="64" t="s">
        <v>3399</v>
      </c>
      <c r="E1433" s="64" t="s">
        <v>3400</v>
      </c>
      <c r="F1433" s="64" t="s">
        <v>3401</v>
      </c>
    </row>
    <row r="1434" spans="3:6">
      <c r="C1434" s="64">
        <v>561.12</v>
      </c>
      <c r="D1434" s="64" t="s">
        <v>3402</v>
      </c>
      <c r="E1434" s="64" t="s">
        <v>3403</v>
      </c>
      <c r="F1434" s="64" t="s">
        <v>3404</v>
      </c>
    </row>
    <row r="1435" spans="3:6">
      <c r="C1435" s="64">
        <v>561.13</v>
      </c>
      <c r="D1435" s="64" t="s">
        <v>3405</v>
      </c>
      <c r="E1435" s="64" t="s">
        <v>3405</v>
      </c>
      <c r="F1435" s="64" t="s">
        <v>3406</v>
      </c>
    </row>
    <row r="1436" spans="3:6">
      <c r="C1436" s="64">
        <v>561.14</v>
      </c>
      <c r="E1436" s="64"/>
    </row>
    <row r="1437" spans="3:6">
      <c r="C1437" s="64">
        <v>561.15</v>
      </c>
      <c r="E1437" s="64"/>
    </row>
    <row r="1438" spans="3:6">
      <c r="C1438" s="64">
        <v>561.16</v>
      </c>
      <c r="D1438" s="64" t="s">
        <v>3407</v>
      </c>
      <c r="E1438" s="64" t="s">
        <v>3408</v>
      </c>
      <c r="F1438" s="64" t="s">
        <v>3409</v>
      </c>
    </row>
    <row r="1439" spans="3:6" ht="25.5">
      <c r="C1439" s="64">
        <v>561.16999999999996</v>
      </c>
      <c r="D1439" s="64" t="s">
        <v>3410</v>
      </c>
      <c r="E1439" s="64" t="s">
        <v>3411</v>
      </c>
      <c r="F1439" s="64" t="s">
        <v>3412</v>
      </c>
    </row>
    <row r="1440" spans="3:6">
      <c r="C1440" s="64">
        <v>561.17999999999995</v>
      </c>
      <c r="D1440" s="64" t="s">
        <v>3413</v>
      </c>
      <c r="E1440" s="64" t="s">
        <v>3413</v>
      </c>
      <c r="F1440" s="64" t="s">
        <v>3414</v>
      </c>
    </row>
    <row r="1441" spans="3:6">
      <c r="C1441" s="64">
        <v>561.19000000000005</v>
      </c>
      <c r="D1441" s="64" t="s">
        <v>3415</v>
      </c>
      <c r="E1441" s="64" t="s">
        <v>3416</v>
      </c>
      <c r="F1441" s="64" t="s">
        <v>3417</v>
      </c>
    </row>
    <row r="1442" spans="3:6">
      <c r="C1442" s="64">
        <v>561.20000000000005</v>
      </c>
      <c r="D1442" s="64" t="s">
        <v>3418</v>
      </c>
      <c r="E1442" s="64" t="s">
        <v>3419</v>
      </c>
      <c r="F1442" s="64" t="s">
        <v>3420</v>
      </c>
    </row>
    <row r="1443" spans="3:6">
      <c r="C1443" s="64">
        <v>561.21</v>
      </c>
      <c r="D1443" s="64" t="s">
        <v>3421</v>
      </c>
      <c r="E1443" s="64" t="s">
        <v>3422</v>
      </c>
      <c r="F1443" s="64" t="s">
        <v>3423</v>
      </c>
    </row>
    <row r="1444" spans="3:6">
      <c r="C1444" s="64">
        <v>561.22</v>
      </c>
      <c r="D1444" s="64" t="s">
        <v>3424</v>
      </c>
      <c r="E1444" s="64" t="s">
        <v>3425</v>
      </c>
      <c r="F1444" s="64" t="s">
        <v>3426</v>
      </c>
    </row>
    <row r="1445" spans="3:6">
      <c r="C1445" s="64">
        <v>561.23</v>
      </c>
      <c r="D1445" s="64" t="s">
        <v>3427</v>
      </c>
      <c r="E1445" s="64" t="s">
        <v>3428</v>
      </c>
      <c r="F1445" s="64" t="s">
        <v>3429</v>
      </c>
    </row>
    <row r="1446" spans="3:6">
      <c r="C1446" s="64">
        <v>561.24</v>
      </c>
      <c r="D1446" s="64" t="s">
        <v>3430</v>
      </c>
      <c r="E1446" s="64" t="s">
        <v>3431</v>
      </c>
      <c r="F1446" s="64" t="s">
        <v>3432</v>
      </c>
    </row>
    <row r="1447" spans="3:6">
      <c r="C1447" s="64">
        <v>561.25</v>
      </c>
      <c r="D1447" s="64" t="s">
        <v>3433</v>
      </c>
      <c r="E1447" s="64" t="s">
        <v>3434</v>
      </c>
      <c r="F1447" s="64" t="s">
        <v>3435</v>
      </c>
    </row>
    <row r="1448" spans="3:6">
      <c r="C1448" s="64">
        <v>561.26</v>
      </c>
      <c r="D1448" s="64" t="s">
        <v>3436</v>
      </c>
      <c r="E1448" s="64" t="s">
        <v>3437</v>
      </c>
      <c r="F1448" s="64" t="s">
        <v>3438</v>
      </c>
    </row>
    <row r="1449" spans="3:6">
      <c r="C1449" s="64">
        <v>561.27</v>
      </c>
      <c r="D1449" s="64" t="s">
        <v>3439</v>
      </c>
      <c r="E1449" s="64" t="s">
        <v>3440</v>
      </c>
      <c r="F1449" s="64" t="s">
        <v>3441</v>
      </c>
    </row>
    <row r="1450" spans="3:6">
      <c r="C1450" s="64">
        <v>561.28</v>
      </c>
      <c r="D1450" s="64" t="s">
        <v>3442</v>
      </c>
      <c r="E1450" s="64" t="s">
        <v>3443</v>
      </c>
      <c r="F1450" s="64" t="s">
        <v>3444</v>
      </c>
    </row>
    <row r="1451" spans="3:6">
      <c r="C1451" s="64">
        <v>561.29</v>
      </c>
      <c r="D1451" s="64" t="s">
        <v>3445</v>
      </c>
      <c r="E1451" s="64" t="s">
        <v>3446</v>
      </c>
      <c r="F1451" s="64" t="s">
        <v>3447</v>
      </c>
    </row>
    <row r="1452" spans="3:6">
      <c r="C1452" s="64">
        <v>561.29999999999995</v>
      </c>
      <c r="D1452" s="64" t="s">
        <v>3448</v>
      </c>
      <c r="E1452" s="64" t="s">
        <v>3449</v>
      </c>
      <c r="F1452" s="64" t="s">
        <v>3450</v>
      </c>
    </row>
    <row r="1453" spans="3:6">
      <c r="C1453" s="64">
        <v>561.30999999999995</v>
      </c>
      <c r="D1453" s="64" t="s">
        <v>3451</v>
      </c>
      <c r="E1453" s="64" t="s">
        <v>1580</v>
      </c>
      <c r="F1453" s="64" t="s">
        <v>1581</v>
      </c>
    </row>
    <row r="1454" spans="3:6">
      <c r="C1454" s="64">
        <v>561.32000000000005</v>
      </c>
      <c r="E1454" s="64"/>
    </row>
    <row r="1455" spans="3:6">
      <c r="C1455" s="64">
        <v>561.33000000000004</v>
      </c>
      <c r="E1455" s="64"/>
    </row>
    <row r="1456" spans="3:6">
      <c r="C1456" s="64">
        <v>561.34</v>
      </c>
      <c r="E1456" s="64"/>
    </row>
    <row r="1457" spans="3:6">
      <c r="C1457" s="64">
        <v>561.35</v>
      </c>
      <c r="E1457" s="64"/>
    </row>
    <row r="1458" spans="3:6">
      <c r="C1458" s="64">
        <v>561.36</v>
      </c>
      <c r="E1458" s="64"/>
    </row>
    <row r="1459" spans="3:6" ht="12" customHeight="1">
      <c r="C1459" s="64">
        <v>561.37</v>
      </c>
      <c r="E1459" s="64"/>
    </row>
    <row r="1460" spans="3:6">
      <c r="C1460" s="64">
        <v>561.29999999999995</v>
      </c>
      <c r="E1460" s="64"/>
    </row>
    <row r="1461" spans="3:6">
      <c r="C1461" s="64">
        <v>603.1</v>
      </c>
      <c r="D1461" s="64" t="s">
        <v>3452</v>
      </c>
      <c r="E1461" s="64" t="s">
        <v>3453</v>
      </c>
      <c r="F1461" s="64" t="s">
        <v>3454</v>
      </c>
    </row>
    <row r="1462" spans="3:6">
      <c r="C1462" s="64">
        <v>608.1</v>
      </c>
      <c r="D1462" s="64" t="s">
        <v>3455</v>
      </c>
      <c r="E1462" s="64" t="s">
        <v>3456</v>
      </c>
      <c r="F1462" s="64" t="s">
        <v>3457</v>
      </c>
    </row>
    <row r="1463" spans="3:6">
      <c r="C1463" s="64">
        <v>608.20000000000005</v>
      </c>
      <c r="D1463" s="64" t="s">
        <v>3458</v>
      </c>
      <c r="E1463" s="64" t="s">
        <v>3459</v>
      </c>
      <c r="F1463" s="64" t="s">
        <v>3460</v>
      </c>
    </row>
    <row r="1464" spans="3:6">
      <c r="C1464" s="64">
        <v>608.29999999999995</v>
      </c>
      <c r="D1464" s="64" t="s">
        <v>3461</v>
      </c>
      <c r="E1464" s="64" t="s">
        <v>3462</v>
      </c>
      <c r="F1464" s="64" t="s">
        <v>3463</v>
      </c>
    </row>
    <row r="1465" spans="3:6">
      <c r="C1465" s="64">
        <v>608.4</v>
      </c>
      <c r="D1465" s="64" t="s">
        <v>3464</v>
      </c>
      <c r="E1465" s="64" t="s">
        <v>3465</v>
      </c>
      <c r="F1465" s="64" t="s">
        <v>3466</v>
      </c>
    </row>
    <row r="1466" spans="3:6">
      <c r="C1466" s="64">
        <v>608.5</v>
      </c>
      <c r="D1466" s="64" t="s">
        <v>3467</v>
      </c>
      <c r="E1466" s="64" t="s">
        <v>3468</v>
      </c>
      <c r="F1466" s="64" t="s">
        <v>3469</v>
      </c>
    </row>
    <row r="1467" spans="3:6" ht="38.25">
      <c r="C1467" s="64">
        <v>621.1</v>
      </c>
      <c r="D1467" s="169" t="s">
        <v>3470</v>
      </c>
      <c r="E1467" s="169" t="s">
        <v>3471</v>
      </c>
      <c r="F1467" s="264" t="s">
        <v>154</v>
      </c>
    </row>
    <row r="1468" spans="3:6" ht="63.75">
      <c r="C1468" s="64">
        <v>719.1</v>
      </c>
      <c r="D1468" s="146" t="s">
        <v>3472</v>
      </c>
      <c r="E1468" s="64" t="s">
        <v>3473</v>
      </c>
      <c r="F1468" s="146" t="s">
        <v>3474</v>
      </c>
    </row>
    <row r="1469" spans="3:6">
      <c r="C1469" s="64">
        <v>964.51</v>
      </c>
      <c r="D1469" s="64" t="s">
        <v>3475</v>
      </c>
      <c r="E1469" s="64" t="s">
        <v>3476</v>
      </c>
      <c r="F1469" s="64" t="s">
        <v>3477</v>
      </c>
    </row>
    <row r="1470" spans="3:6" ht="25.5">
      <c r="C1470" s="64">
        <v>964.52</v>
      </c>
      <c r="D1470" s="64" t="s">
        <v>3478</v>
      </c>
      <c r="E1470" s="64" t="s">
        <v>3479</v>
      </c>
      <c r="F1470" s="64" t="s">
        <v>3480</v>
      </c>
    </row>
    <row r="1471" spans="3:6">
      <c r="C1471" s="64">
        <v>964.53</v>
      </c>
      <c r="D1471" s="64" t="s">
        <v>3481</v>
      </c>
      <c r="E1471" s="64" t="s">
        <v>3482</v>
      </c>
      <c r="F1471" s="64" t="s">
        <v>3483</v>
      </c>
    </row>
    <row r="1472" spans="3:6">
      <c r="C1472" s="64">
        <v>964.54</v>
      </c>
      <c r="D1472" s="64" t="s">
        <v>3484</v>
      </c>
      <c r="E1472" s="64" t="s">
        <v>3485</v>
      </c>
      <c r="F1472" s="264" t="s">
        <v>154</v>
      </c>
    </row>
    <row r="1473" spans="3:6">
      <c r="C1473" s="64">
        <v>964.55</v>
      </c>
      <c r="D1473" s="64" t="s">
        <v>3486</v>
      </c>
      <c r="E1473" s="64" t="s">
        <v>3487</v>
      </c>
      <c r="F1473" s="64" t="s">
        <v>3488</v>
      </c>
    </row>
    <row r="1474" spans="3:6">
      <c r="C1474" s="64">
        <v>964.56</v>
      </c>
      <c r="D1474" s="64" t="s">
        <v>3489</v>
      </c>
      <c r="E1474" s="64" t="s">
        <v>3490</v>
      </c>
      <c r="F1474" s="264" t="s">
        <v>154</v>
      </c>
    </row>
    <row r="1475" spans="3:6">
      <c r="C1475" s="64">
        <v>964.57</v>
      </c>
      <c r="D1475" s="64" t="s">
        <v>3491</v>
      </c>
      <c r="E1475" s="64" t="s">
        <v>3492</v>
      </c>
      <c r="F1475" s="264" t="s">
        <v>154</v>
      </c>
    </row>
    <row r="1476" spans="3:6">
      <c r="C1476" s="64">
        <v>964.58</v>
      </c>
      <c r="D1476" s="169" t="s">
        <v>3493</v>
      </c>
      <c r="E1476" s="64" t="s">
        <v>3494</v>
      </c>
      <c r="F1476" s="169" t="s">
        <v>154</v>
      </c>
    </row>
    <row r="1477" spans="3:6">
      <c r="C1477" s="64">
        <v>964.59</v>
      </c>
      <c r="D1477" s="64" t="s">
        <v>3495</v>
      </c>
      <c r="E1477" s="64" t="s">
        <v>3496</v>
      </c>
      <c r="F1477" s="64" t="s">
        <v>1884</v>
      </c>
    </row>
    <row r="1478" spans="3:6">
      <c r="E1478" s="64"/>
    </row>
    <row r="1479" spans="3:6">
      <c r="C1479" s="64">
        <v>964.7</v>
      </c>
      <c r="D1479" s="64" t="s">
        <v>3497</v>
      </c>
      <c r="E1479" s="64" t="s">
        <v>3498</v>
      </c>
      <c r="F1479" s="169" t="s">
        <v>3202</v>
      </c>
    </row>
    <row r="1480" spans="3:6">
      <c r="E1480" s="64"/>
    </row>
    <row r="1481" spans="3:6">
      <c r="C1481" s="64">
        <v>1130.0999999999999</v>
      </c>
      <c r="D1481" s="64" t="s">
        <v>3499</v>
      </c>
      <c r="E1481" s="64" t="s">
        <v>3500</v>
      </c>
      <c r="F1481" s="64" t="s">
        <v>3501</v>
      </c>
    </row>
    <row r="1482" spans="3:6">
      <c r="C1482" s="64">
        <v>1130.2</v>
      </c>
      <c r="D1482" s="64" t="s">
        <v>3502</v>
      </c>
      <c r="E1482" s="64" t="s">
        <v>3503</v>
      </c>
      <c r="F1482" s="64" t="s">
        <v>3504</v>
      </c>
    </row>
    <row r="1483" spans="3:6">
      <c r="C1483" s="64">
        <v>1156.5</v>
      </c>
      <c r="D1483" s="10" t="s">
        <v>3505</v>
      </c>
      <c r="E1483" s="64" t="s">
        <v>3506</v>
      </c>
      <c r="F1483" s="64" t="s">
        <v>3507</v>
      </c>
    </row>
    <row r="1484" spans="3:6">
      <c r="C1484" s="64">
        <v>1158.5</v>
      </c>
      <c r="D1484" s="10" t="s">
        <v>3508</v>
      </c>
      <c r="E1484" s="64" t="s">
        <v>3509</v>
      </c>
      <c r="F1484" s="169" t="s">
        <v>3510</v>
      </c>
    </row>
    <row r="1485" spans="3:6">
      <c r="C1485" s="64">
        <v>1160.5</v>
      </c>
      <c r="D1485" s="10" t="s">
        <v>3511</v>
      </c>
      <c r="E1485" s="64" t="s">
        <v>3512</v>
      </c>
      <c r="F1485" s="64" t="s">
        <v>3513</v>
      </c>
    </row>
    <row r="1486" spans="3:6">
      <c r="C1486" s="64">
        <v>1163.5</v>
      </c>
      <c r="D1486" s="10" t="s">
        <v>3514</v>
      </c>
      <c r="E1486" s="64" t="s">
        <v>3515</v>
      </c>
      <c r="F1486" s="64" t="s">
        <v>1869</v>
      </c>
    </row>
    <row r="1488" spans="3:6" ht="25.5">
      <c r="C1488" s="64">
        <v>1360</v>
      </c>
      <c r="D1488" s="22" t="s">
        <v>3516</v>
      </c>
      <c r="E1488" s="22" t="s">
        <v>3517</v>
      </c>
      <c r="F1488" s="22" t="s">
        <v>3518</v>
      </c>
    </row>
    <row r="1489" spans="3:6" ht="165.75">
      <c r="C1489" s="64">
        <v>1361</v>
      </c>
      <c r="D1489" s="64" t="s">
        <v>3519</v>
      </c>
      <c r="E1489" s="64" t="s">
        <v>3520</v>
      </c>
      <c r="F1489" s="187" t="s">
        <v>3521</v>
      </c>
    </row>
    <row r="1490" spans="3:6" ht="25.5">
      <c r="C1490" s="64">
        <v>1362</v>
      </c>
      <c r="D1490" s="64" t="s">
        <v>3522</v>
      </c>
      <c r="E1490" s="64" t="s">
        <v>3523</v>
      </c>
      <c r="F1490" s="64" t="s">
        <v>3524</v>
      </c>
    </row>
    <row r="1491" spans="3:6" ht="25.5">
      <c r="C1491" s="64">
        <v>1363</v>
      </c>
      <c r="D1491" s="64" t="s">
        <v>3525</v>
      </c>
      <c r="E1491" s="64" t="s">
        <v>3526</v>
      </c>
      <c r="F1491" s="64" t="s">
        <v>3527</v>
      </c>
    </row>
    <row r="1492" spans="3:6">
      <c r="C1492" s="64">
        <v>1364</v>
      </c>
      <c r="D1492" s="40" t="s">
        <v>1520</v>
      </c>
      <c r="E1492" s="16" t="s">
        <v>1521</v>
      </c>
      <c r="F1492" s="223" t="s">
        <v>1522</v>
      </c>
    </row>
    <row r="1493" spans="3:6" ht="63.75">
      <c r="C1493" s="64">
        <v>1365</v>
      </c>
      <c r="D1493" s="64" t="s">
        <v>3528</v>
      </c>
      <c r="E1493" s="169" t="s">
        <v>3529</v>
      </c>
      <c r="F1493" s="169" t="s">
        <v>3530</v>
      </c>
    </row>
    <row r="1494" spans="3:6" ht="76.5">
      <c r="C1494" s="64">
        <v>1366</v>
      </c>
      <c r="D1494" s="64" t="s">
        <v>3531</v>
      </c>
      <c r="E1494" s="169" t="s">
        <v>3532</v>
      </c>
      <c r="F1494" s="64" t="s">
        <v>1774</v>
      </c>
    </row>
    <row r="1495" spans="3:6" ht="25.5">
      <c r="C1495" s="64">
        <v>1367</v>
      </c>
      <c r="D1495" s="64" t="s">
        <v>3533</v>
      </c>
      <c r="E1495" s="169" t="s">
        <v>3534</v>
      </c>
      <c r="F1495" s="169" t="s">
        <v>3535</v>
      </c>
    </row>
    <row r="1496" spans="3:6" ht="89.25">
      <c r="C1496" s="64">
        <v>1368</v>
      </c>
      <c r="D1496" s="64" t="s">
        <v>3536</v>
      </c>
      <c r="E1496" s="169" t="s">
        <v>3537</v>
      </c>
      <c r="F1496" s="169" t="s">
        <v>3538</v>
      </c>
    </row>
    <row r="1497" spans="3:6" ht="63.75">
      <c r="C1497" s="64">
        <v>1369</v>
      </c>
      <c r="D1497" s="64" t="s">
        <v>3539</v>
      </c>
      <c r="E1497" s="64" t="s">
        <v>3540</v>
      </c>
      <c r="F1497" s="169" t="s">
        <v>3541</v>
      </c>
    </row>
    <row r="1498" spans="3:6" ht="63.75">
      <c r="C1498" s="64">
        <v>1370</v>
      </c>
      <c r="D1498" s="64" t="s">
        <v>3542</v>
      </c>
      <c r="E1498" s="64" t="s">
        <v>3543</v>
      </c>
      <c r="F1498" s="169" t="s">
        <v>3544</v>
      </c>
    </row>
    <row r="1499" spans="3:6">
      <c r="C1499" s="64">
        <v>1371</v>
      </c>
      <c r="E1499" s="64"/>
    </row>
    <row r="1500" spans="3:6">
      <c r="C1500" s="64">
        <v>1372</v>
      </c>
      <c r="E1500" s="64"/>
    </row>
    <row r="1501" spans="3:6">
      <c r="C1501" s="64">
        <v>1373</v>
      </c>
      <c r="D1501" s="64" t="s">
        <v>3545</v>
      </c>
      <c r="E1501" s="64" t="s">
        <v>3546</v>
      </c>
      <c r="F1501" s="64" t="s">
        <v>3547</v>
      </c>
    </row>
    <row r="1502" spans="3:6">
      <c r="C1502" s="64">
        <v>1374</v>
      </c>
      <c r="D1502" s="64" t="s">
        <v>3548</v>
      </c>
      <c r="E1502" s="64" t="s">
        <v>3549</v>
      </c>
      <c r="F1502" s="64" t="s">
        <v>3550</v>
      </c>
    </row>
    <row r="1503" spans="3:6" ht="38.25">
      <c r="C1503" s="64">
        <v>1375</v>
      </c>
      <c r="D1503" s="64" t="s">
        <v>3551</v>
      </c>
      <c r="E1503" s="64" t="s">
        <v>3552</v>
      </c>
      <c r="F1503" s="64" t="s">
        <v>3553</v>
      </c>
    </row>
    <row r="1504" spans="3:6" ht="25.5">
      <c r="C1504" s="64">
        <v>1376</v>
      </c>
      <c r="D1504" s="64" t="s">
        <v>3554</v>
      </c>
      <c r="E1504" s="64" t="s">
        <v>3555</v>
      </c>
      <c r="F1504" s="64" t="s">
        <v>3556</v>
      </c>
    </row>
    <row r="1505" spans="3:6">
      <c r="C1505" s="64">
        <v>1377</v>
      </c>
      <c r="D1505" s="64" t="s">
        <v>3557</v>
      </c>
      <c r="E1505" s="64" t="s">
        <v>3558</v>
      </c>
      <c r="F1505" s="64" t="s">
        <v>2124</v>
      </c>
    </row>
    <row r="1506" spans="3:6">
      <c r="C1506" s="64">
        <v>1378</v>
      </c>
      <c r="D1506" s="64" t="s">
        <v>3559</v>
      </c>
      <c r="E1506" s="64" t="str">
        <f>E561</f>
        <v>Identifikationsnummer Kredit</v>
      </c>
      <c r="F1506" s="64" t="s">
        <v>3560</v>
      </c>
    </row>
    <row r="1507" spans="3:6">
      <c r="C1507" s="64">
        <v>1379</v>
      </c>
      <c r="D1507" s="64" t="s">
        <v>3561</v>
      </c>
      <c r="E1507" s="64" t="s">
        <v>3562</v>
      </c>
      <c r="F1507" s="64" t="s">
        <v>3563</v>
      </c>
    </row>
    <row r="1508" spans="3:6">
      <c r="C1508" s="64">
        <v>1380</v>
      </c>
      <c r="D1508" s="64" t="s">
        <v>1999</v>
      </c>
      <c r="E1508" s="192" t="str">
        <f>E522</f>
        <v>Währung des Kredits</v>
      </c>
      <c r="F1508" s="64" t="s">
        <v>3564</v>
      </c>
    </row>
    <row r="1509" spans="3:6">
      <c r="C1509" s="64">
        <v>1381</v>
      </c>
      <c r="E1509" s="64"/>
    </row>
    <row r="1510" spans="3:6">
      <c r="C1510" s="64">
        <v>1382</v>
      </c>
      <c r="D1510" s="64" t="s">
        <v>2002</v>
      </c>
      <c r="E1510" s="192" t="str">
        <f>E523</f>
        <v>KREDITSALDO - 1</v>
      </c>
      <c r="F1510" s="64" t="s">
        <v>3565</v>
      </c>
    </row>
    <row r="1511" spans="3:6" ht="38.25">
      <c r="C1511" s="64">
        <v>1383</v>
      </c>
      <c r="D1511" s="64" t="s">
        <v>3566</v>
      </c>
      <c r="E1511" s="64" t="s">
        <v>3567</v>
      </c>
      <c r="F1511" s="64" t="s">
        <v>3568</v>
      </c>
    </row>
    <row r="1512" spans="3:6">
      <c r="C1512" s="64">
        <v>1384</v>
      </c>
      <c r="D1512" s="64" t="s">
        <v>2005</v>
      </c>
      <c r="E1512" s="192" t="str">
        <f>E524</f>
        <v>KREDITSALDO - 2</v>
      </c>
      <c r="F1512" s="64" t="s">
        <v>3569</v>
      </c>
    </row>
    <row r="1513" spans="3:6" ht="25.5">
      <c r="C1513" s="64">
        <v>1385</v>
      </c>
      <c r="D1513" s="64" t="s">
        <v>3570</v>
      </c>
      <c r="E1513" s="64" t="s">
        <v>3571</v>
      </c>
      <c r="F1513" s="64" t="s">
        <v>3572</v>
      </c>
    </row>
    <row r="1514" spans="3:6">
      <c r="C1514" s="64">
        <v>1386</v>
      </c>
      <c r="D1514" s="64" t="s">
        <v>3573</v>
      </c>
      <c r="E1514" s="64" t="s">
        <v>3574</v>
      </c>
      <c r="F1514" s="64" t="s">
        <v>3575</v>
      </c>
    </row>
    <row r="1515" spans="3:6" ht="25.5">
      <c r="C1515" s="64">
        <v>1387</v>
      </c>
      <c r="D1515" s="64" t="s">
        <v>3576</v>
      </c>
      <c r="E1515" s="64" t="s">
        <v>3577</v>
      </c>
      <c r="F1515" s="64" t="s">
        <v>3578</v>
      </c>
    </row>
    <row r="1516" spans="3:6" ht="25.5">
      <c r="C1516" s="64">
        <v>1388</v>
      </c>
      <c r="D1516" s="64" t="s">
        <v>3579</v>
      </c>
      <c r="E1516" s="64" t="s">
        <v>3580</v>
      </c>
      <c r="F1516" s="64" t="s">
        <v>3581</v>
      </c>
    </row>
    <row r="1517" spans="3:6" ht="51">
      <c r="C1517" s="64">
        <v>1389</v>
      </c>
      <c r="D1517" s="64" t="s">
        <v>3582</v>
      </c>
      <c r="E1517" s="64" t="s">
        <v>3583</v>
      </c>
      <c r="F1517" s="64" t="s">
        <v>3584</v>
      </c>
    </row>
    <row r="1518" spans="3:6" ht="25.5">
      <c r="C1518" s="64">
        <v>1390</v>
      </c>
      <c r="D1518" s="64" t="s">
        <v>3585</v>
      </c>
      <c r="E1518" s="64" t="s">
        <v>3586</v>
      </c>
      <c r="F1518" s="64" t="s">
        <v>3587</v>
      </c>
    </row>
    <row r="1519" spans="3:6" ht="51">
      <c r="C1519" s="64">
        <v>1391</v>
      </c>
      <c r="D1519" s="64" t="s">
        <v>3588</v>
      </c>
      <c r="E1519" s="64" t="s">
        <v>3589</v>
      </c>
      <c r="F1519" s="64" t="s">
        <v>3590</v>
      </c>
    </row>
    <row r="1520" spans="3:6">
      <c r="C1520" s="64">
        <v>1392</v>
      </c>
      <c r="D1520" s="64" t="s">
        <v>3591</v>
      </c>
      <c r="E1520" s="64" t="s">
        <v>3592</v>
      </c>
      <c r="F1520" s="64" t="s">
        <v>3593</v>
      </c>
    </row>
    <row r="1521" spans="3:6" ht="25.5">
      <c r="C1521" s="64">
        <v>1393</v>
      </c>
      <c r="D1521" s="64" t="s">
        <v>3594</v>
      </c>
      <c r="E1521" s="64" t="s">
        <v>3595</v>
      </c>
      <c r="F1521" s="64" t="s">
        <v>3596</v>
      </c>
    </row>
    <row r="1522" spans="3:6">
      <c r="C1522" s="64">
        <v>1394</v>
      </c>
      <c r="D1522" s="64" t="s">
        <v>3597</v>
      </c>
      <c r="E1522" s="64" t="s">
        <v>3598</v>
      </c>
      <c r="F1522" s="64" t="s">
        <v>3599</v>
      </c>
    </row>
    <row r="1523" spans="3:6" ht="25.5">
      <c r="C1523" s="64">
        <v>1394.5</v>
      </c>
      <c r="D1523" s="64" t="s">
        <v>3600</v>
      </c>
      <c r="E1523" s="64" t="s">
        <v>3601</v>
      </c>
      <c r="F1523" s="64" t="s">
        <v>3602</v>
      </c>
    </row>
    <row r="1524" spans="3:6">
      <c r="C1524" s="64">
        <v>1395</v>
      </c>
      <c r="D1524" s="64" t="s">
        <v>3603</v>
      </c>
      <c r="E1524" s="64" t="s">
        <v>3604</v>
      </c>
      <c r="F1524" s="64" t="s">
        <v>3605</v>
      </c>
    </row>
    <row r="1525" spans="3:6">
      <c r="C1525" s="64">
        <v>1396</v>
      </c>
      <c r="D1525" s="64" t="s">
        <v>3606</v>
      </c>
      <c r="E1525" s="64" t="s">
        <v>3607</v>
      </c>
      <c r="F1525" s="64" t="s">
        <v>3608</v>
      </c>
    </row>
    <row r="1526" spans="3:6">
      <c r="C1526" s="64">
        <v>1397</v>
      </c>
      <c r="D1526" s="64" t="s">
        <v>3609</v>
      </c>
      <c r="E1526" s="64" t="s">
        <v>3610</v>
      </c>
      <c r="F1526" s="64" t="s">
        <v>3611</v>
      </c>
    </row>
    <row r="1527" spans="3:6">
      <c r="C1527" s="64">
        <v>1398</v>
      </c>
      <c r="D1527" s="64" t="s">
        <v>3612</v>
      </c>
      <c r="E1527" s="64" t="s">
        <v>3613</v>
      </c>
      <c r="F1527" s="64" t="s">
        <v>3614</v>
      </c>
    </row>
    <row r="1528" spans="3:6" ht="25.5">
      <c r="C1528" s="64">
        <v>1399</v>
      </c>
      <c r="D1528" s="64" t="s">
        <v>3615</v>
      </c>
      <c r="E1528" s="64" t="s">
        <v>3616</v>
      </c>
      <c r="F1528" s="64" t="s">
        <v>3617</v>
      </c>
    </row>
    <row r="1529" spans="3:6">
      <c r="C1529" s="64">
        <v>1399.1</v>
      </c>
      <c r="D1529" s="64" t="s">
        <v>3618</v>
      </c>
      <c r="E1529" s="64" t="s">
        <v>3619</v>
      </c>
      <c r="F1529" s="64" t="s">
        <v>3620</v>
      </c>
    </row>
    <row r="1530" spans="3:6" ht="25.5">
      <c r="C1530" s="64">
        <v>1399.2</v>
      </c>
      <c r="D1530" s="64" t="s">
        <v>3621</v>
      </c>
      <c r="E1530" s="64" t="s">
        <v>3622</v>
      </c>
      <c r="F1530" s="64" t="s">
        <v>3623</v>
      </c>
    </row>
    <row r="1531" spans="3:6">
      <c r="C1531" s="64">
        <v>1400</v>
      </c>
      <c r="D1531" s="402" t="s">
        <v>1282</v>
      </c>
      <c r="E1531" s="64" t="s">
        <v>1283</v>
      </c>
      <c r="F1531" s="64" t="s">
        <v>1284</v>
      </c>
    </row>
    <row r="1532" spans="3:6" ht="25.5">
      <c r="C1532" s="64">
        <v>1401</v>
      </c>
      <c r="D1532" s="64" t="s">
        <v>3624</v>
      </c>
      <c r="E1532" s="64" t="s">
        <v>3625</v>
      </c>
      <c r="F1532" s="283" t="s">
        <v>3626</v>
      </c>
    </row>
    <row r="1533" spans="3:6" ht="25.5">
      <c r="C1533" s="64">
        <v>1402</v>
      </c>
      <c r="D1533" s="64" t="s">
        <v>3627</v>
      </c>
      <c r="E1533" s="192" t="str">
        <f>E531</f>
        <v>Zinssatz, in% (wenn SCHULDNER einen festen Zinssatz zahlt)</v>
      </c>
      <c r="F1533" s="64" t="s">
        <v>3628</v>
      </c>
    </row>
    <row r="1534" spans="3:6" ht="25.5">
      <c r="C1534" s="64">
        <v>1403</v>
      </c>
      <c r="D1534" s="64" t="s">
        <v>3321</v>
      </c>
      <c r="E1534" s="64" t="str">
        <f>E1406</f>
        <v>Nach Hedging, falls zutreffend. Nur für festverzinsliche Kredite ausfüllen.</v>
      </c>
      <c r="F1534" s="64" t="s">
        <v>3629</v>
      </c>
    </row>
    <row r="1535" spans="3:6" ht="25.5">
      <c r="C1535" s="64">
        <v>1404</v>
      </c>
      <c r="D1535" s="64" t="s">
        <v>3630</v>
      </c>
      <c r="E1535" s="64" t="s">
        <v>3631</v>
      </c>
      <c r="F1535" s="64" t="s">
        <v>3632</v>
      </c>
    </row>
    <row r="1536" spans="3:6" ht="38.25">
      <c r="C1536" s="64">
        <v>1405</v>
      </c>
      <c r="D1536" s="64" t="s">
        <v>3324</v>
      </c>
      <c r="E1536" s="64" t="str">
        <f>E1407</f>
        <v>Vgl. Tabellenblatt "Definitions". Nach Sicherungsgeschäften, falls zutreffend. Nur für festverzinsliche Kredite ausfüllen.</v>
      </c>
      <c r="F1536" s="64" t="s">
        <v>3633</v>
      </c>
    </row>
    <row r="1537" spans="3:6" ht="25.5">
      <c r="C1537" s="64">
        <v>1406</v>
      </c>
      <c r="D1537" s="283" t="s">
        <v>3634</v>
      </c>
      <c r="E1537" s="283" t="s">
        <v>3635</v>
      </c>
      <c r="F1537" s="283" t="s">
        <v>3636</v>
      </c>
    </row>
    <row r="1538" spans="3:6" ht="38.25">
      <c r="C1538" s="64">
        <v>1407</v>
      </c>
      <c r="D1538" s="283" t="s">
        <v>3637</v>
      </c>
      <c r="E1538" s="64" t="s">
        <v>3637</v>
      </c>
      <c r="F1538" s="283" t="s">
        <v>3638</v>
      </c>
    </row>
    <row r="1539" spans="3:6" ht="25.5">
      <c r="C1539" s="64">
        <v>1408</v>
      </c>
      <c r="D1539" s="283" t="s">
        <v>3639</v>
      </c>
      <c r="E1539" s="64" t="s">
        <v>3640</v>
      </c>
      <c r="F1539" s="64" t="s">
        <v>3641</v>
      </c>
    </row>
    <row r="1540" spans="3:6" ht="38.25">
      <c r="C1540" s="64">
        <v>1409</v>
      </c>
      <c r="D1540" s="185" t="s">
        <v>3642</v>
      </c>
      <c r="E1540" s="169" t="s">
        <v>3643</v>
      </c>
      <c r="F1540" s="283" t="s">
        <v>3638</v>
      </c>
    </row>
    <row r="1541" spans="3:6" ht="25.5">
      <c r="C1541" s="64">
        <v>1410</v>
      </c>
      <c r="D1541" s="64" t="s">
        <v>3644</v>
      </c>
      <c r="E1541" s="64" t="s">
        <v>3645</v>
      </c>
      <c r="F1541" s="64" t="s">
        <v>3646</v>
      </c>
    </row>
    <row r="1542" spans="3:6" ht="38.25">
      <c r="C1542" s="64">
        <v>1411</v>
      </c>
      <c r="D1542" s="64" t="s">
        <v>3647</v>
      </c>
      <c r="E1542" s="64" t="s">
        <v>3648</v>
      </c>
      <c r="F1542" s="64" t="s">
        <v>3649</v>
      </c>
    </row>
    <row r="1543" spans="3:6" ht="25.5">
      <c r="C1543" s="64">
        <v>1412</v>
      </c>
      <c r="D1543" s="64" t="s">
        <v>3650</v>
      </c>
      <c r="E1543" s="64" t="s">
        <v>3651</v>
      </c>
      <c r="F1543" s="64" t="s">
        <v>3652</v>
      </c>
    </row>
    <row r="1544" spans="3:6" ht="63.75">
      <c r="C1544" s="64">
        <v>1413</v>
      </c>
      <c r="D1544" s="64" t="s">
        <v>3653</v>
      </c>
      <c r="E1544" s="64" t="s">
        <v>3654</v>
      </c>
      <c r="F1544" s="64" t="s">
        <v>3655</v>
      </c>
    </row>
    <row r="1545" spans="3:6">
      <c r="C1545" s="64">
        <v>1414</v>
      </c>
      <c r="D1545" s="64" t="s">
        <v>3656</v>
      </c>
      <c r="E1545" s="64" t="s">
        <v>3657</v>
      </c>
      <c r="F1545" s="64" t="s">
        <v>3658</v>
      </c>
    </row>
    <row r="1546" spans="3:6" ht="63.75">
      <c r="C1546" s="64">
        <v>1415</v>
      </c>
      <c r="D1546" s="64" t="s">
        <v>3659</v>
      </c>
      <c r="E1546" s="64" t="str">
        <f>E1544</f>
        <v>Nettobetrag der Zahlungen des Mieters an den Kreditnehmer (abzueglich aller mit der Immobilie verbundenen Zahlungen, zu denen der Kreditnehmer verpfllichtet ist). Vgl. LAUFENDE EINNAHMEN (NETTO).</v>
      </c>
      <c r="F1546" s="64" t="s">
        <v>3660</v>
      </c>
    </row>
    <row r="1547" spans="3:6">
      <c r="C1547" s="64">
        <v>1416</v>
      </c>
      <c r="D1547" s="64" t="s">
        <v>3661</v>
      </c>
      <c r="E1547" s="64" t="s">
        <v>3662</v>
      </c>
      <c r="F1547" s="64" t="s">
        <v>3661</v>
      </c>
    </row>
    <row r="1548" spans="3:6" ht="25.5">
      <c r="C1548" s="64">
        <v>1417</v>
      </c>
      <c r="D1548" s="64" t="s">
        <v>3663</v>
      </c>
      <c r="E1548" s="64" t="s">
        <v>3664</v>
      </c>
      <c r="F1548" s="64" t="s">
        <v>3665</v>
      </c>
    </row>
    <row r="1549" spans="3:6" ht="25.5">
      <c r="C1549" s="64">
        <v>1418</v>
      </c>
      <c r="D1549" s="64" t="s">
        <v>3666</v>
      </c>
      <c r="E1549" s="64" t="s">
        <v>3667</v>
      </c>
      <c r="F1549" s="64" t="s">
        <v>3668</v>
      </c>
    </row>
    <row r="1550" spans="3:6">
      <c r="C1550" s="64">
        <v>1419</v>
      </c>
      <c r="D1550" s="64" t="s">
        <v>3669</v>
      </c>
      <c r="E1550" s="64" t="s">
        <v>3250</v>
      </c>
      <c r="F1550" s="64" t="s">
        <v>3670</v>
      </c>
    </row>
    <row r="1551" spans="3:6">
      <c r="C1551" s="64">
        <v>1420</v>
      </c>
      <c r="D1551" s="64" t="s">
        <v>3671</v>
      </c>
      <c r="E1551" s="64" t="str">
        <f>E200</f>
        <v>Häufigkeit der Tilgungszahlungen</v>
      </c>
      <c r="F1551" s="64" t="s">
        <v>3672</v>
      </c>
    </row>
    <row r="1552" spans="3:6">
      <c r="C1552" s="64">
        <v>1421</v>
      </c>
      <c r="E1552" s="64"/>
    </row>
    <row r="1553" spans="3:6">
      <c r="C1553" s="64">
        <v>1422</v>
      </c>
      <c r="D1553" s="64" t="s">
        <v>2046</v>
      </c>
      <c r="E1553" s="64" t="str">
        <f>E540</f>
        <v>Rückzahlungsprofil</v>
      </c>
      <c r="F1553" s="64" t="s">
        <v>3673</v>
      </c>
    </row>
    <row r="1554" spans="3:6">
      <c r="C1554" s="64">
        <v>1423</v>
      </c>
      <c r="E1554" s="64"/>
    </row>
    <row r="1555" spans="3:6">
      <c r="C1555" s="64">
        <v>1424</v>
      </c>
      <c r="D1555" s="64" t="s">
        <v>3674</v>
      </c>
      <c r="E1555" s="64" t="s">
        <v>3675</v>
      </c>
      <c r="F1555" s="64" t="s">
        <v>3676</v>
      </c>
    </row>
    <row r="1556" spans="3:6" ht="25.5">
      <c r="C1556" s="64">
        <v>1425</v>
      </c>
      <c r="D1556" s="64" t="s">
        <v>3677</v>
      </c>
      <c r="E1556" s="64" t="s">
        <v>3678</v>
      </c>
      <c r="F1556" s="64" t="s">
        <v>3679</v>
      </c>
    </row>
    <row r="1557" spans="3:6">
      <c r="C1557" s="64">
        <v>1426</v>
      </c>
      <c r="D1557" s="64" t="s">
        <v>3680</v>
      </c>
      <c r="E1557" s="64" t="s">
        <v>3681</v>
      </c>
      <c r="F1557" s="64" t="s">
        <v>3682</v>
      </c>
    </row>
    <row r="1558" spans="3:6" ht="38.25">
      <c r="C1558" s="64">
        <v>1427</v>
      </c>
      <c r="D1558" s="261" t="s">
        <v>2111</v>
      </c>
      <c r="E1558" s="64" t="str">
        <f>E1409</f>
        <v xml:space="preserve"> </v>
      </c>
      <c r="F1558" s="261" t="s">
        <v>3331</v>
      </c>
    </row>
    <row r="1559" spans="3:6">
      <c r="C1559" s="64">
        <v>1428</v>
      </c>
      <c r="D1559" s="64" t="s">
        <v>3683</v>
      </c>
      <c r="E1559" s="64" t="s">
        <v>3684</v>
      </c>
      <c r="F1559" s="64" t="s">
        <v>3685</v>
      </c>
    </row>
    <row r="1560" spans="3:6">
      <c r="C1560" s="64">
        <v>1429</v>
      </c>
      <c r="D1560" s="64" t="s">
        <v>3686</v>
      </c>
      <c r="E1560" s="64" t="s">
        <v>3687</v>
      </c>
      <c r="F1560" s="64" t="s">
        <v>3688</v>
      </c>
    </row>
    <row r="1561" spans="3:6">
      <c r="C1561" s="64">
        <v>1430</v>
      </c>
      <c r="D1561" s="64" t="s">
        <v>3689</v>
      </c>
      <c r="E1561" s="192" t="s">
        <v>1988</v>
      </c>
      <c r="F1561" s="64" t="s">
        <v>3690</v>
      </c>
    </row>
    <row r="1562" spans="3:6">
      <c r="C1562" s="64">
        <v>1431</v>
      </c>
      <c r="D1562" s="169" t="s">
        <v>154</v>
      </c>
      <c r="E1562" s="169" t="s">
        <v>154</v>
      </c>
      <c r="F1562" s="64" t="s">
        <v>3691</v>
      </c>
    </row>
    <row r="1563" spans="3:6">
      <c r="C1563" s="64">
        <v>1432</v>
      </c>
      <c r="D1563" s="64" t="s">
        <v>3692</v>
      </c>
      <c r="E1563" s="64" t="s">
        <v>3693</v>
      </c>
      <c r="F1563" s="64" t="s">
        <v>3694</v>
      </c>
    </row>
    <row r="1564" spans="3:6">
      <c r="C1564" s="64">
        <v>1433</v>
      </c>
      <c r="D1564" s="64" t="s">
        <v>3669</v>
      </c>
      <c r="E1564" s="64" t="str">
        <f>E1550</f>
        <v>Bitte auswählen</v>
      </c>
      <c r="F1564" s="64" t="s">
        <v>3670</v>
      </c>
    </row>
    <row r="1565" spans="3:6">
      <c r="C1565" s="64">
        <v>1434</v>
      </c>
      <c r="D1565" s="64" t="s">
        <v>3695</v>
      </c>
      <c r="E1565" s="64" t="s">
        <v>3696</v>
      </c>
      <c r="F1565" s="64" t="s">
        <v>3697</v>
      </c>
    </row>
    <row r="1566" spans="3:6" ht="25.5">
      <c r="C1566" s="64">
        <v>1435</v>
      </c>
      <c r="D1566" s="64" t="s">
        <v>3698</v>
      </c>
      <c r="E1566" s="64" t="s">
        <v>3699</v>
      </c>
      <c r="F1566" s="64" t="s">
        <v>3700</v>
      </c>
    </row>
    <row r="1567" spans="3:6">
      <c r="C1567" s="64">
        <v>1436</v>
      </c>
      <c r="D1567" s="64" t="s">
        <v>3701</v>
      </c>
      <c r="E1567" s="64" t="s">
        <v>3702</v>
      </c>
      <c r="F1567" s="64" t="s">
        <v>3703</v>
      </c>
    </row>
    <row r="1568" spans="3:6" ht="51">
      <c r="C1568" s="64">
        <v>1437</v>
      </c>
      <c r="D1568" s="64" t="s">
        <v>3704</v>
      </c>
      <c r="E1568" s="64" t="s">
        <v>3705</v>
      </c>
      <c r="F1568" s="64" t="s">
        <v>3706</v>
      </c>
    </row>
    <row r="1569" spans="3:6">
      <c r="C1569" s="64">
        <v>1438</v>
      </c>
      <c r="D1569" s="64" t="s">
        <v>3707</v>
      </c>
      <c r="E1569" s="64" t="s">
        <v>3708</v>
      </c>
      <c r="F1569" s="64" t="s">
        <v>3709</v>
      </c>
    </row>
    <row r="1570" spans="3:6" ht="51">
      <c r="C1570" s="64">
        <v>1439</v>
      </c>
      <c r="D1570" s="64" t="s">
        <v>3710</v>
      </c>
      <c r="E1570" s="64" t="str">
        <f>E1568</f>
        <v>Wenn der Kredit an ein SPV gewährt wird und durch eine dritte Partei (Sponsor) garantiert ist, wird das Sponsor-Rating (Long Term Senior Unsecured) herangezogen.</v>
      </c>
      <c r="F1570" s="64" t="s">
        <v>3706</v>
      </c>
    </row>
    <row r="1571" spans="3:6">
      <c r="C1571" s="64">
        <v>1440</v>
      </c>
      <c r="D1571" s="64" t="s">
        <v>3711</v>
      </c>
      <c r="E1571" s="64" t="s">
        <v>3712</v>
      </c>
      <c r="F1571" s="64" t="s">
        <v>3713</v>
      </c>
    </row>
    <row r="1572" spans="3:6" ht="51">
      <c r="C1572" s="64">
        <v>1441</v>
      </c>
      <c r="D1572" s="64" t="s">
        <v>3714</v>
      </c>
      <c r="E1572" s="64" t="str">
        <f>E1570</f>
        <v>Wenn der Kredit an ein SPV gewährt wird und durch eine dritte Partei (Sponsor) garantiert ist, wird das Sponsor-Rating (Long Term Senior Unsecured) herangezogen.</v>
      </c>
      <c r="F1572" s="64" t="s">
        <v>3706</v>
      </c>
    </row>
    <row r="1573" spans="3:6">
      <c r="C1573" s="64">
        <v>1441.1</v>
      </c>
      <c r="D1573" s="64" t="s">
        <v>3715</v>
      </c>
      <c r="E1573" s="64" t="s">
        <v>3716</v>
      </c>
      <c r="F1573" s="64" t="s">
        <v>3717</v>
      </c>
    </row>
    <row r="1574" spans="3:6" ht="25.5">
      <c r="C1574" s="64">
        <v>1441.2</v>
      </c>
      <c r="D1574" s="64" t="s">
        <v>3718</v>
      </c>
      <c r="E1574" s="64" t="s">
        <v>3719</v>
      </c>
      <c r="F1574" s="64" t="s">
        <v>3720</v>
      </c>
    </row>
    <row r="1575" spans="3:6">
      <c r="C1575" s="64">
        <v>1441.3</v>
      </c>
      <c r="D1575" s="64" t="s">
        <v>3721</v>
      </c>
      <c r="E1575" s="64" t="s">
        <v>3722</v>
      </c>
      <c r="F1575" s="64" t="s">
        <v>3723</v>
      </c>
    </row>
    <row r="1576" spans="3:6">
      <c r="C1576" s="64">
        <v>1441.4</v>
      </c>
      <c r="D1576" s="169" t="s">
        <v>154</v>
      </c>
      <c r="E1576" s="64" t="s">
        <v>3724</v>
      </c>
      <c r="F1576" s="169" t="s">
        <v>154</v>
      </c>
    </row>
    <row r="1577" spans="3:6">
      <c r="C1577" s="64">
        <v>1441.5</v>
      </c>
      <c r="D1577" s="64" t="s">
        <v>3725</v>
      </c>
      <c r="E1577" s="64" t="s">
        <v>3726</v>
      </c>
      <c r="F1577" s="64" t="s">
        <v>3727</v>
      </c>
    </row>
    <row r="1578" spans="3:6">
      <c r="C1578" s="64">
        <v>1441.6</v>
      </c>
      <c r="D1578" s="64" t="s">
        <v>3728</v>
      </c>
      <c r="E1578" s="64" t="s">
        <v>3729</v>
      </c>
      <c r="F1578" s="64" t="s">
        <v>3384</v>
      </c>
    </row>
    <row r="1579" spans="3:6" ht="25.5">
      <c r="C1579" s="64">
        <v>1441.7</v>
      </c>
      <c r="D1579" s="64" t="s">
        <v>3730</v>
      </c>
      <c r="E1579" s="403" t="s">
        <v>3731</v>
      </c>
      <c r="F1579" s="64" t="s">
        <v>3732</v>
      </c>
    </row>
    <row r="1580" spans="3:6" ht="25.5">
      <c r="C1580" s="64">
        <v>1441.8</v>
      </c>
      <c r="D1580" s="64" t="s">
        <v>3733</v>
      </c>
      <c r="E1580" s="403" t="s">
        <v>3731</v>
      </c>
      <c r="F1580" s="64" t="s">
        <v>3734</v>
      </c>
    </row>
    <row r="1581" spans="3:6" ht="25.5">
      <c r="C1581" s="64">
        <v>1442</v>
      </c>
      <c r="D1581" s="64" t="s">
        <v>3735</v>
      </c>
      <c r="E1581" s="64" t="s">
        <v>3736</v>
      </c>
      <c r="F1581" s="64" t="s">
        <v>3737</v>
      </c>
    </row>
    <row r="1582" spans="3:6">
      <c r="C1582" s="64">
        <v>1443</v>
      </c>
      <c r="D1582" s="64" t="s">
        <v>3738</v>
      </c>
      <c r="E1582" s="64" t="s">
        <v>3739</v>
      </c>
      <c r="F1582" s="64" t="s">
        <v>3740</v>
      </c>
    </row>
    <row r="1583" spans="3:6" ht="25.5">
      <c r="C1583" s="64">
        <v>1444</v>
      </c>
      <c r="D1583" s="64" t="s">
        <v>3741</v>
      </c>
      <c r="E1583" s="64" t="s">
        <v>3742</v>
      </c>
      <c r="F1583" s="64" t="s">
        <v>3737</v>
      </c>
    </row>
    <row r="1584" spans="3:6">
      <c r="C1584" s="64">
        <v>1445</v>
      </c>
      <c r="D1584" s="64" t="s">
        <v>3743</v>
      </c>
      <c r="E1584" s="64" t="s">
        <v>3744</v>
      </c>
      <c r="F1584" s="64" t="s">
        <v>3745</v>
      </c>
    </row>
    <row r="1585" spans="3:6">
      <c r="C1585" s="64">
        <v>1446</v>
      </c>
      <c r="D1585" s="64" t="s">
        <v>3746</v>
      </c>
      <c r="E1585" s="64" t="s">
        <v>3747</v>
      </c>
      <c r="F1585" s="64" t="s">
        <v>3748</v>
      </c>
    </row>
    <row r="1586" spans="3:6" ht="25.5">
      <c r="C1586" s="64">
        <v>1447</v>
      </c>
      <c r="D1586" s="64" t="s">
        <v>3749</v>
      </c>
      <c r="E1586" s="64" t="s">
        <v>3750</v>
      </c>
      <c r="F1586" s="64" t="s">
        <v>3751</v>
      </c>
    </row>
    <row r="1587" spans="3:6">
      <c r="C1587" s="64">
        <v>1448</v>
      </c>
      <c r="D1587" s="64" t="s">
        <v>3752</v>
      </c>
      <c r="E1587" s="64" t="s">
        <v>3753</v>
      </c>
      <c r="F1587" s="283" t="s">
        <v>3754</v>
      </c>
    </row>
    <row r="1588" spans="3:6" ht="25.5">
      <c r="C1588" s="64">
        <v>1449</v>
      </c>
      <c r="D1588" s="64" t="s">
        <v>3755</v>
      </c>
      <c r="E1588" s="64" t="s">
        <v>3756</v>
      </c>
      <c r="F1588" s="283" t="s">
        <v>3757</v>
      </c>
    </row>
    <row r="1589" spans="3:6">
      <c r="C1589" s="64">
        <v>1450</v>
      </c>
      <c r="D1589" s="64" t="s">
        <v>3758</v>
      </c>
      <c r="E1589" s="64" t="s">
        <v>3759</v>
      </c>
      <c r="F1589" s="64" t="s">
        <v>3760</v>
      </c>
    </row>
    <row r="1590" spans="3:6">
      <c r="C1590" s="64">
        <v>1451</v>
      </c>
      <c r="E1590" s="64"/>
    </row>
    <row r="1591" spans="3:6" ht="25.5">
      <c r="C1591" s="64">
        <v>1452</v>
      </c>
      <c r="D1591" s="64" t="s">
        <v>3761</v>
      </c>
      <c r="E1591" s="64" t="s">
        <v>3762</v>
      </c>
      <c r="F1591" s="64" t="s">
        <v>3763</v>
      </c>
    </row>
    <row r="1592" spans="3:6" ht="25.5">
      <c r="C1592" s="64">
        <v>1453</v>
      </c>
      <c r="D1592" s="64" t="s">
        <v>3764</v>
      </c>
      <c r="E1592" s="64" t="str">
        <f>E1586</f>
        <v>Bei mehreren Immobilien Datum der Bewertung der größten Immobilie.</v>
      </c>
      <c r="F1592" s="64" t="s">
        <v>3751</v>
      </c>
    </row>
    <row r="1593" spans="3:6">
      <c r="C1593" s="64">
        <v>1454</v>
      </c>
      <c r="D1593" s="64" t="s">
        <v>3765</v>
      </c>
      <c r="E1593" s="64" t="s">
        <v>3766</v>
      </c>
      <c r="F1593" s="64" t="s">
        <v>3767</v>
      </c>
    </row>
    <row r="1594" spans="3:6" ht="25.5">
      <c r="C1594" s="64">
        <v>1455</v>
      </c>
      <c r="D1594" s="64" t="s">
        <v>3768</v>
      </c>
      <c r="E1594" s="187" t="s">
        <v>3769</v>
      </c>
      <c r="F1594" s="64" t="s">
        <v>3770</v>
      </c>
    </row>
    <row r="1595" spans="3:6">
      <c r="C1595" s="64">
        <v>1456</v>
      </c>
      <c r="D1595" s="64" t="s">
        <v>3771</v>
      </c>
      <c r="E1595" s="64" t="s">
        <v>3772</v>
      </c>
      <c r="F1595" s="64" t="s">
        <v>3773</v>
      </c>
    </row>
    <row r="1596" spans="3:6" ht="25.5">
      <c r="C1596" s="64">
        <v>1457</v>
      </c>
      <c r="D1596" s="64" t="s">
        <v>3774</v>
      </c>
      <c r="E1596" s="64" t="str">
        <f>E1592</f>
        <v>Bei mehreren Immobilien Datum der Bewertung der größten Immobilie.</v>
      </c>
      <c r="F1596" s="64" t="s">
        <v>3775</v>
      </c>
    </row>
    <row r="1597" spans="3:6" ht="25.5">
      <c r="C1597" s="64">
        <v>1457.1</v>
      </c>
      <c r="D1597" s="64" t="s">
        <v>3776</v>
      </c>
      <c r="E1597" s="64" t="s">
        <v>3777</v>
      </c>
      <c r="F1597" s="64" t="s">
        <v>3775</v>
      </c>
    </row>
    <row r="1598" spans="3:6">
      <c r="C1598" s="64">
        <v>1458</v>
      </c>
      <c r="D1598" s="64" t="s">
        <v>3778</v>
      </c>
      <c r="E1598" s="64" t="s">
        <v>3779</v>
      </c>
      <c r="F1598" s="64" t="s">
        <v>3780</v>
      </c>
    </row>
    <row r="1599" spans="3:6" ht="38.25">
      <c r="C1599" s="64">
        <v>1459</v>
      </c>
      <c r="D1599" s="64" t="s">
        <v>3781</v>
      </c>
      <c r="E1599" s="187" t="s">
        <v>3782</v>
      </c>
      <c r="F1599" s="64" t="s">
        <v>3783</v>
      </c>
    </row>
    <row r="1600" spans="3:6">
      <c r="C1600" s="64">
        <v>1460</v>
      </c>
      <c r="D1600" s="64" t="s">
        <v>3784</v>
      </c>
      <c r="E1600" s="64" t="s">
        <v>3785</v>
      </c>
      <c r="F1600" s="64" t="s">
        <v>3786</v>
      </c>
    </row>
    <row r="1601" spans="3:6">
      <c r="C1601" s="64">
        <v>1461</v>
      </c>
      <c r="E1601" s="64"/>
    </row>
    <row r="1602" spans="3:6">
      <c r="C1602" s="64">
        <v>1462</v>
      </c>
      <c r="D1602" s="64" t="s">
        <v>3787</v>
      </c>
      <c r="E1602" s="64" t="s">
        <v>3788</v>
      </c>
      <c r="F1602" s="64" t="s">
        <v>3789</v>
      </c>
    </row>
    <row r="1603" spans="3:6">
      <c r="C1603" s="64">
        <v>1463</v>
      </c>
      <c r="E1603" s="64"/>
    </row>
    <row r="1604" spans="3:6">
      <c r="C1604" s="64">
        <v>1464</v>
      </c>
      <c r="D1604" s="64" t="s">
        <v>3790</v>
      </c>
      <c r="E1604" s="64" t="s">
        <v>3791</v>
      </c>
      <c r="F1604" s="64" t="s">
        <v>3792</v>
      </c>
    </row>
    <row r="1605" spans="3:6">
      <c r="C1605" s="64">
        <v>1465</v>
      </c>
      <c r="E1605" s="64"/>
    </row>
    <row r="1606" spans="3:6">
      <c r="C1606" s="64">
        <v>1466</v>
      </c>
      <c r="D1606" s="64" t="s">
        <v>3793</v>
      </c>
      <c r="E1606" s="64" t="s">
        <v>3794</v>
      </c>
      <c r="F1606" s="64" t="s">
        <v>3795</v>
      </c>
    </row>
    <row r="1607" spans="3:6">
      <c r="C1607" s="64">
        <v>1467</v>
      </c>
      <c r="D1607" s="64" t="s">
        <v>3332</v>
      </c>
      <c r="E1607" s="64" t="s">
        <v>3796</v>
      </c>
      <c r="F1607" s="64" t="s">
        <v>3797</v>
      </c>
    </row>
    <row r="1608" spans="3:6">
      <c r="C1608" s="64">
        <v>1468</v>
      </c>
      <c r="D1608" s="64" t="s">
        <v>3798</v>
      </c>
      <c r="E1608" s="64" t="s">
        <v>3799</v>
      </c>
      <c r="F1608" s="64" t="s">
        <v>3800</v>
      </c>
    </row>
    <row r="1609" spans="3:6">
      <c r="C1609" s="64">
        <v>1469</v>
      </c>
      <c r="E1609" s="64"/>
    </row>
    <row r="1610" spans="3:6">
      <c r="C1610" s="64">
        <v>1470</v>
      </c>
      <c r="D1610" s="64" t="s">
        <v>3801</v>
      </c>
      <c r="E1610" s="64" t="s">
        <v>3802</v>
      </c>
      <c r="F1610" s="64" t="s">
        <v>3803</v>
      </c>
    </row>
    <row r="1611" spans="3:6">
      <c r="C1611" s="64">
        <v>1471</v>
      </c>
      <c r="E1611" s="64"/>
    </row>
    <row r="1612" spans="3:6" ht="25.5">
      <c r="C1612" s="64">
        <v>1472</v>
      </c>
      <c r="D1612" s="64" t="s">
        <v>3804</v>
      </c>
      <c r="E1612" s="64" t="s">
        <v>3805</v>
      </c>
      <c r="F1612" s="64" t="s">
        <v>3806</v>
      </c>
    </row>
    <row r="1613" spans="3:6" ht="38.25">
      <c r="C1613" s="64">
        <v>1473</v>
      </c>
      <c r="D1613" s="64" t="s">
        <v>3807</v>
      </c>
      <c r="E1613" s="64" t="s">
        <v>3808</v>
      </c>
      <c r="F1613" s="64" t="s">
        <v>3809</v>
      </c>
    </row>
    <row r="1614" spans="3:6">
      <c r="C1614" s="64">
        <v>1474</v>
      </c>
      <c r="D1614" s="64" t="s">
        <v>3810</v>
      </c>
      <c r="E1614" s="64" t="s">
        <v>3811</v>
      </c>
      <c r="F1614" s="64" t="s">
        <v>3812</v>
      </c>
    </row>
    <row r="1615" spans="3:6" ht="38.25">
      <c r="C1615" s="64">
        <v>1475</v>
      </c>
      <c r="D1615" s="64" t="s">
        <v>3813</v>
      </c>
      <c r="E1615" s="64" t="s">
        <v>3814</v>
      </c>
      <c r="F1615" s="64" t="s">
        <v>3815</v>
      </c>
    </row>
    <row r="1616" spans="3:6">
      <c r="C1616" s="64">
        <v>1476</v>
      </c>
      <c r="D1616" s="64" t="s">
        <v>3816</v>
      </c>
      <c r="E1616" s="64" t="s">
        <v>3817</v>
      </c>
      <c r="F1616" s="64" t="s">
        <v>3818</v>
      </c>
    </row>
    <row r="1617" spans="3:6">
      <c r="C1617" s="64">
        <v>1477</v>
      </c>
      <c r="E1617" s="64"/>
    </row>
    <row r="1618" spans="3:6">
      <c r="C1618" s="64">
        <v>1478</v>
      </c>
      <c r="D1618" s="64" t="s">
        <v>3819</v>
      </c>
      <c r="E1618" s="64" t="s">
        <v>3820</v>
      </c>
      <c r="F1618" s="64" t="s">
        <v>3821</v>
      </c>
    </row>
    <row r="1619" spans="3:6" ht="51">
      <c r="C1619" s="64">
        <v>1479</v>
      </c>
      <c r="D1619" s="64" t="s">
        <v>3822</v>
      </c>
      <c r="E1619" s="64" t="s">
        <v>3823</v>
      </c>
      <c r="F1619" s="64" t="s">
        <v>3824</v>
      </c>
    </row>
    <row r="1620" spans="3:6">
      <c r="C1620" s="64">
        <v>1480</v>
      </c>
      <c r="D1620" s="64" t="s">
        <v>3825</v>
      </c>
      <c r="E1620" s="64" t="s">
        <v>3826</v>
      </c>
      <c r="F1620" s="64" t="s">
        <v>3827</v>
      </c>
    </row>
    <row r="1621" spans="3:6" ht="51">
      <c r="C1621" s="64">
        <v>1481</v>
      </c>
      <c r="D1621" s="64" t="s">
        <v>3828</v>
      </c>
      <c r="E1621" s="64" t="str">
        <f>E1619</f>
        <v>Werden Reparatur- und Versicherungskosten auf Mieter überwaelzt?</v>
      </c>
      <c r="F1621" s="64" t="s">
        <v>3829</v>
      </c>
    </row>
    <row r="1622" spans="3:6" ht="25.5">
      <c r="C1622" s="64">
        <v>1482</v>
      </c>
      <c r="D1622" s="64" t="s">
        <v>3830</v>
      </c>
      <c r="E1622" s="64" t="s">
        <v>3831</v>
      </c>
      <c r="F1622" s="64" t="s">
        <v>3832</v>
      </c>
    </row>
    <row r="1623" spans="3:6" ht="51">
      <c r="C1623" s="64">
        <v>1483</v>
      </c>
      <c r="D1623" s="64" t="s">
        <v>3833</v>
      </c>
      <c r="E1623" s="64" t="str">
        <f>E1613</f>
        <v xml:space="preserve">Unkündbare verbleibende Mietzeit ab BERICHTSDATUM </v>
      </c>
      <c r="F1623" s="64" t="s">
        <v>3809</v>
      </c>
    </row>
    <row r="1624" spans="3:6">
      <c r="C1624" s="64">
        <v>1484</v>
      </c>
      <c r="D1624" s="64" t="s">
        <v>3834</v>
      </c>
      <c r="E1624" s="64" t="s">
        <v>3835</v>
      </c>
      <c r="F1624" s="64" t="s">
        <v>3836</v>
      </c>
    </row>
    <row r="1625" spans="3:6">
      <c r="C1625" s="64">
        <v>1485</v>
      </c>
      <c r="E1625" s="64"/>
    </row>
    <row r="1626" spans="3:6">
      <c r="C1626" s="64">
        <v>1486</v>
      </c>
      <c r="D1626" s="64" t="s">
        <v>3837</v>
      </c>
      <c r="E1626" s="64" t="s">
        <v>3838</v>
      </c>
      <c r="F1626" s="64" t="s">
        <v>3839</v>
      </c>
    </row>
    <row r="1627" spans="3:6">
      <c r="C1627" s="64">
        <v>1487</v>
      </c>
      <c r="E1627" s="64"/>
    </row>
    <row r="1628" spans="3:6">
      <c r="C1628" s="64">
        <v>1488</v>
      </c>
      <c r="D1628" s="64" t="s">
        <v>3840</v>
      </c>
      <c r="E1628" s="64" t="s">
        <v>3841</v>
      </c>
      <c r="F1628" s="64" t="s">
        <v>3842</v>
      </c>
    </row>
    <row r="1629" spans="3:6">
      <c r="C1629" s="64">
        <v>1489</v>
      </c>
      <c r="E1629" s="64"/>
    </row>
    <row r="1630" spans="3:6">
      <c r="C1630" s="64">
        <v>1490</v>
      </c>
      <c r="D1630" s="64" t="s">
        <v>3843</v>
      </c>
      <c r="E1630" s="64" t="s">
        <v>3844</v>
      </c>
      <c r="F1630" s="64" t="s">
        <v>3845</v>
      </c>
    </row>
    <row r="1631" spans="3:6">
      <c r="C1631" s="64">
        <v>1491</v>
      </c>
      <c r="E1631" s="64"/>
    </row>
    <row r="1632" spans="3:6">
      <c r="C1632" s="64">
        <v>1492</v>
      </c>
      <c r="D1632" s="64" t="s">
        <v>3846</v>
      </c>
      <c r="E1632" s="64" t="s">
        <v>3847</v>
      </c>
      <c r="F1632" s="64" t="s">
        <v>3848</v>
      </c>
    </row>
    <row r="1633" spans="3:6">
      <c r="C1633" s="64">
        <v>1493</v>
      </c>
      <c r="E1633" s="64"/>
    </row>
    <row r="1634" spans="3:6">
      <c r="C1634" s="64">
        <v>1494</v>
      </c>
      <c r="D1634" s="64" t="s">
        <v>3849</v>
      </c>
      <c r="E1634" s="64" t="s">
        <v>3850</v>
      </c>
      <c r="F1634" s="64" t="s">
        <v>3851</v>
      </c>
    </row>
    <row r="1635" spans="3:6">
      <c r="C1635" s="64">
        <v>1495</v>
      </c>
      <c r="E1635" s="64"/>
    </row>
    <row r="1636" spans="3:6" ht="25.5">
      <c r="C1636" s="64">
        <v>1496</v>
      </c>
      <c r="D1636" s="64" t="s">
        <v>3852</v>
      </c>
      <c r="E1636" s="64" t="s">
        <v>3853</v>
      </c>
      <c r="F1636" s="64" t="s">
        <v>3854</v>
      </c>
    </row>
    <row r="1637" spans="3:6">
      <c r="C1637" s="64">
        <v>1497</v>
      </c>
      <c r="E1637" s="64"/>
    </row>
    <row r="1638" spans="3:6">
      <c r="C1638" s="64">
        <v>1498</v>
      </c>
      <c r="D1638" s="64" t="s">
        <v>3855</v>
      </c>
      <c r="E1638" s="64" t="s">
        <v>3856</v>
      </c>
      <c r="F1638" s="64" t="s">
        <v>3857</v>
      </c>
    </row>
    <row r="1639" spans="3:6">
      <c r="C1639" s="64">
        <v>1499</v>
      </c>
      <c r="E1639" s="64"/>
    </row>
    <row r="1640" spans="3:6">
      <c r="C1640" s="64">
        <v>1500</v>
      </c>
      <c r="D1640" s="64" t="s">
        <v>3858</v>
      </c>
      <c r="E1640" s="64" t="s">
        <v>3859</v>
      </c>
      <c r="F1640" s="64" t="s">
        <v>3860</v>
      </c>
    </row>
    <row r="1641" spans="3:6">
      <c r="C1641" s="64">
        <v>1501</v>
      </c>
      <c r="E1641" s="64"/>
      <c r="F1641" s="64" t="s">
        <v>3861</v>
      </c>
    </row>
    <row r="1642" spans="3:6">
      <c r="C1642" s="64">
        <v>1502</v>
      </c>
      <c r="D1642" s="64" t="s">
        <v>3467</v>
      </c>
      <c r="E1642" s="64" t="s">
        <v>3862</v>
      </c>
      <c r="F1642" s="64" t="s">
        <v>3863</v>
      </c>
    </row>
    <row r="1643" spans="3:6" ht="51">
      <c r="C1643" s="64">
        <v>1503</v>
      </c>
      <c r="D1643" s="64" t="s">
        <v>3864</v>
      </c>
      <c r="E1643" s="297" t="s">
        <v>3865</v>
      </c>
      <c r="F1643" s="64" t="s">
        <v>3866</v>
      </c>
    </row>
    <row r="1644" spans="3:6" ht="25.5">
      <c r="C1644" s="64">
        <v>1503.5</v>
      </c>
      <c r="D1644" s="64" t="s">
        <v>3867</v>
      </c>
      <c r="E1644" s="64" t="s">
        <v>3868</v>
      </c>
      <c r="F1644" s="64" t="s">
        <v>3869</v>
      </c>
    </row>
    <row r="1645" spans="3:6">
      <c r="C1645" s="64">
        <v>1504</v>
      </c>
      <c r="D1645" s="64" t="s">
        <v>3870</v>
      </c>
      <c r="E1645" s="64" t="s">
        <v>3871</v>
      </c>
      <c r="F1645" s="64" t="s">
        <v>3872</v>
      </c>
    </row>
    <row r="1646" spans="3:6" ht="38.25">
      <c r="C1646" s="64">
        <v>1505</v>
      </c>
      <c r="D1646" s="64" t="s">
        <v>3873</v>
      </c>
      <c r="E1646" s="64" t="s">
        <v>3874</v>
      </c>
      <c r="F1646" s="64" t="s">
        <v>3875</v>
      </c>
    </row>
    <row r="1647" spans="3:6">
      <c r="C1647" s="64">
        <v>1506</v>
      </c>
      <c r="D1647" s="64" t="s">
        <v>3876</v>
      </c>
      <c r="E1647" s="64" t="s">
        <v>3877</v>
      </c>
      <c r="F1647" s="64" t="s">
        <v>3878</v>
      </c>
    </row>
    <row r="1648" spans="3:6">
      <c r="C1648" s="64">
        <v>1507</v>
      </c>
      <c r="D1648" s="64" t="s">
        <v>3879</v>
      </c>
      <c r="E1648" s="64" t="s">
        <v>3880</v>
      </c>
      <c r="F1648" s="64" t="s">
        <v>3881</v>
      </c>
    </row>
    <row r="1649" spans="3:6">
      <c r="C1649" s="64">
        <v>1508</v>
      </c>
      <c r="D1649" s="64" t="s">
        <v>3882</v>
      </c>
      <c r="E1649" s="64" t="s">
        <v>3883</v>
      </c>
      <c r="F1649" s="64" t="s">
        <v>3882</v>
      </c>
    </row>
    <row r="1650" spans="3:6">
      <c r="C1650" s="64">
        <v>1509</v>
      </c>
      <c r="D1650" s="64" t="s">
        <v>3884</v>
      </c>
      <c r="E1650" s="64" t="s">
        <v>3885</v>
      </c>
      <c r="F1650" s="64" t="s">
        <v>3884</v>
      </c>
    </row>
    <row r="1651" spans="3:6">
      <c r="C1651" s="64">
        <v>1510</v>
      </c>
      <c r="D1651" s="64" t="s">
        <v>3886</v>
      </c>
      <c r="E1651" s="64" t="s">
        <v>3887</v>
      </c>
      <c r="F1651" s="64" t="s">
        <v>3886</v>
      </c>
    </row>
    <row r="1652" spans="3:6" ht="25.5">
      <c r="C1652" s="64">
        <v>1511</v>
      </c>
      <c r="D1652" s="64" t="s">
        <v>3888</v>
      </c>
      <c r="E1652" s="64" t="s">
        <v>3889</v>
      </c>
      <c r="F1652" s="64" t="s">
        <v>3890</v>
      </c>
    </row>
    <row r="1653" spans="3:6">
      <c r="C1653" s="64">
        <v>1512</v>
      </c>
      <c r="E1653" s="64"/>
    </row>
    <row r="1654" spans="3:6">
      <c r="C1654" s="64">
        <v>1513</v>
      </c>
      <c r="E1654" s="64"/>
    </row>
    <row r="1655" spans="3:6">
      <c r="C1655" s="64">
        <v>1514</v>
      </c>
      <c r="E1655" s="64"/>
    </row>
    <row r="1658" spans="3:6" ht="114.75">
      <c r="C1658" s="64">
        <v>1581</v>
      </c>
      <c r="D1658" s="64" t="s">
        <v>3891</v>
      </c>
      <c r="E1658" s="64" t="s">
        <v>3892</v>
      </c>
      <c r="F1658" s="187"/>
    </row>
    <row r="1659" spans="3:6" ht="51">
      <c r="C1659" s="64">
        <v>1582</v>
      </c>
      <c r="D1659" s="64" t="s">
        <v>3893</v>
      </c>
      <c r="E1659" s="64" t="s">
        <v>3894</v>
      </c>
      <c r="F1659" s="64" t="s">
        <v>3895</v>
      </c>
    </row>
    <row r="1660" spans="3:6" ht="25.5">
      <c r="C1660" s="64">
        <v>1583</v>
      </c>
      <c r="D1660" s="22" t="s">
        <v>3896</v>
      </c>
      <c r="E1660" s="22" t="s">
        <v>3897</v>
      </c>
      <c r="F1660" s="22" t="s">
        <v>3898</v>
      </c>
    </row>
    <row r="1661" spans="3:6">
      <c r="C1661" s="64">
        <v>1600</v>
      </c>
      <c r="D1661" s="64" t="s">
        <v>3899</v>
      </c>
      <c r="E1661" s="64" t="s">
        <v>3900</v>
      </c>
      <c r="F1661" s="64" t="s">
        <v>3899</v>
      </c>
    </row>
    <row r="1662" spans="3:6" ht="12.75" customHeight="1">
      <c r="C1662" s="64">
        <v>1601</v>
      </c>
      <c r="D1662" s="64" t="s">
        <v>3901</v>
      </c>
      <c r="E1662" s="64" t="s">
        <v>3902</v>
      </c>
      <c r="F1662" s="64" t="s">
        <v>3903</v>
      </c>
    </row>
    <row r="1663" spans="3:6" ht="25.5">
      <c r="C1663" s="64">
        <v>1602</v>
      </c>
      <c r="D1663" s="283" t="s">
        <v>3904</v>
      </c>
      <c r="E1663" s="64" t="s">
        <v>3905</v>
      </c>
      <c r="F1663" s="64" t="s">
        <v>3906</v>
      </c>
    </row>
    <row r="1664" spans="3:6" ht="25.5">
      <c r="C1664" s="64">
        <v>1603</v>
      </c>
      <c r="D1664" s="283" t="s">
        <v>3907</v>
      </c>
      <c r="E1664" s="64" t="s">
        <v>3908</v>
      </c>
      <c r="F1664" s="64" t="s">
        <v>3909</v>
      </c>
    </row>
    <row r="1665" spans="3:6">
      <c r="C1665" s="64">
        <v>1604</v>
      </c>
      <c r="E1665" s="64"/>
    </row>
    <row r="1666" spans="3:6">
      <c r="C1666" s="64">
        <v>1605</v>
      </c>
      <c r="E1666" s="64"/>
    </row>
    <row r="1667" spans="3:6">
      <c r="C1667" s="64">
        <v>1606</v>
      </c>
      <c r="E1667" s="64"/>
    </row>
    <row r="1668" spans="3:6">
      <c r="C1668" s="64">
        <v>1607</v>
      </c>
      <c r="D1668" s="297" t="s">
        <v>3910</v>
      </c>
      <c r="E1668" s="297" t="s">
        <v>3911</v>
      </c>
      <c r="F1668" s="297" t="s">
        <v>3912</v>
      </c>
    </row>
    <row r="1669" spans="3:6">
      <c r="C1669" s="64">
        <v>1608</v>
      </c>
      <c r="D1669" s="300" t="s">
        <v>3913</v>
      </c>
      <c r="E1669" s="300" t="s">
        <v>3914</v>
      </c>
      <c r="F1669" s="300" t="s">
        <v>3915</v>
      </c>
    </row>
    <row r="1670" spans="3:6">
      <c r="C1670" s="64">
        <v>1609</v>
      </c>
      <c r="D1670" s="64" t="s">
        <v>3916</v>
      </c>
      <c r="E1670" s="64" t="s">
        <v>3917</v>
      </c>
      <c r="F1670" s="64" t="s">
        <v>3918</v>
      </c>
    </row>
    <row r="1671" spans="3:6" ht="86.25" customHeight="1">
      <c r="C1671" s="64">
        <v>1610</v>
      </c>
      <c r="D1671" s="64" t="s">
        <v>3919</v>
      </c>
      <c r="E1671" s="64" t="s">
        <v>3920</v>
      </c>
      <c r="F1671" s="64" t="s">
        <v>3921</v>
      </c>
    </row>
    <row r="1672" spans="3:6">
      <c r="C1672" s="64">
        <v>1611</v>
      </c>
      <c r="E1672" s="64"/>
    </row>
    <row r="1673" spans="3:6">
      <c r="C1673" s="64">
        <v>1612</v>
      </c>
      <c r="E1673" s="64"/>
    </row>
    <row r="1674" spans="3:6">
      <c r="C1674" s="64">
        <v>1613</v>
      </c>
      <c r="E1674" s="64"/>
    </row>
    <row r="1675" spans="3:6">
      <c r="C1675" s="64">
        <v>1614</v>
      </c>
      <c r="E1675" s="64"/>
    </row>
    <row r="1676" spans="3:6">
      <c r="C1676" s="64">
        <v>1615</v>
      </c>
      <c r="E1676" s="64"/>
    </row>
    <row r="1677" spans="3:6" ht="25.5">
      <c r="C1677" s="64">
        <v>1616</v>
      </c>
      <c r="D1677" s="64" t="s">
        <v>3922</v>
      </c>
      <c r="E1677" s="64"/>
    </row>
    <row r="1678" spans="3:6">
      <c r="C1678" s="64">
        <v>1617</v>
      </c>
      <c r="E1678" s="64"/>
    </row>
    <row r="1679" spans="3:6">
      <c r="C1679" s="64">
        <v>1618</v>
      </c>
      <c r="E1679" s="64"/>
    </row>
    <row r="1680" spans="3:6" ht="39">
      <c r="C1680" s="64">
        <v>1619</v>
      </c>
      <c r="D1680" s="215" t="s">
        <v>3923</v>
      </c>
      <c r="E1680" s="215" t="s">
        <v>1691</v>
      </c>
      <c r="F1680" s="215" t="s">
        <v>1692</v>
      </c>
    </row>
    <row r="1681" spans="3:6" ht="25.5">
      <c r="C1681" s="64">
        <v>1676</v>
      </c>
      <c r="D1681" s="64" t="s">
        <v>3924</v>
      </c>
      <c r="E1681" s="283" t="s">
        <v>3925</v>
      </c>
      <c r="F1681" s="64" t="s">
        <v>3926</v>
      </c>
    </row>
    <row r="1682" spans="3:6" ht="38.25">
      <c r="C1682" s="64">
        <v>1677</v>
      </c>
      <c r="D1682" s="64" t="s">
        <v>3927</v>
      </c>
      <c r="E1682" s="64" t="s">
        <v>3928</v>
      </c>
      <c r="F1682" s="64" t="s">
        <v>3929</v>
      </c>
    </row>
    <row r="1683" spans="3:6">
      <c r="C1683" s="64">
        <v>1678</v>
      </c>
      <c r="E1683" s="64"/>
    </row>
    <row r="1684" spans="3:6">
      <c r="C1684" s="64">
        <v>1679</v>
      </c>
      <c r="E1684" s="64"/>
    </row>
    <row r="1685" spans="3:6">
      <c r="C1685" s="64">
        <v>1680</v>
      </c>
      <c r="E1685" s="64"/>
    </row>
    <row r="1686" spans="3:6">
      <c r="C1686" s="64">
        <v>1681</v>
      </c>
      <c r="E1686" s="64"/>
    </row>
    <row r="1687" spans="3:6">
      <c r="C1687" s="64">
        <v>1682</v>
      </c>
      <c r="E1687" s="64"/>
    </row>
    <row r="1688" spans="3:6" ht="19.5">
      <c r="C1688" s="64">
        <v>1683</v>
      </c>
      <c r="D1688" s="216" t="s">
        <v>3930</v>
      </c>
      <c r="E1688" s="64" t="s">
        <v>3930</v>
      </c>
      <c r="F1688" s="283" t="s">
        <v>3930</v>
      </c>
    </row>
    <row r="1689" spans="3:6" ht="25.5">
      <c r="C1689" s="64">
        <v>1684</v>
      </c>
      <c r="D1689" s="64" t="s">
        <v>3931</v>
      </c>
      <c r="E1689" s="64" t="s">
        <v>3931</v>
      </c>
      <c r="F1689" s="64" t="s">
        <v>3931</v>
      </c>
    </row>
    <row r="1690" spans="3:6" ht="25.5">
      <c r="C1690" s="64">
        <v>1685</v>
      </c>
      <c r="D1690" s="64" t="s">
        <v>3932</v>
      </c>
      <c r="E1690" s="64" t="s">
        <v>3932</v>
      </c>
      <c r="F1690" s="64" t="s">
        <v>3932</v>
      </c>
    </row>
    <row r="1691" spans="3:6" ht="25.5">
      <c r="C1691" s="64">
        <v>1686</v>
      </c>
      <c r="D1691" s="64" t="s">
        <v>3933</v>
      </c>
      <c r="E1691" s="64" t="s">
        <v>3933</v>
      </c>
      <c r="F1691" s="64" t="s">
        <v>3933</v>
      </c>
    </row>
    <row r="1692" spans="3:6" ht="25.5">
      <c r="C1692" s="64">
        <v>1687</v>
      </c>
      <c r="D1692" s="64" t="s">
        <v>3934</v>
      </c>
      <c r="E1692" s="64" t="s">
        <v>3934</v>
      </c>
      <c r="F1692" s="64" t="s">
        <v>3934</v>
      </c>
    </row>
    <row r="1693" spans="3:6">
      <c r="C1693" s="64">
        <v>1688</v>
      </c>
      <c r="D1693" s="283" t="s">
        <v>123</v>
      </c>
      <c r="E1693" s="283" t="s">
        <v>123</v>
      </c>
      <c r="F1693" s="64" t="s">
        <v>123</v>
      </c>
    </row>
    <row r="1694" spans="3:6">
      <c r="C1694" s="64">
        <v>1689</v>
      </c>
      <c r="E1694" s="64"/>
    </row>
    <row r="1695" spans="3:6">
      <c r="C1695" s="64">
        <v>1690</v>
      </c>
      <c r="E1695" s="64"/>
    </row>
    <row r="1696" spans="3:6">
      <c r="C1696" s="64">
        <v>1691</v>
      </c>
      <c r="E1696" s="64"/>
    </row>
    <row r="1697" spans="3:6">
      <c r="C1697" s="64">
        <v>1692</v>
      </c>
      <c r="E1697" s="64"/>
    </row>
    <row r="1698" spans="3:6">
      <c r="C1698" s="64">
        <v>1693</v>
      </c>
      <c r="D1698" s="19" t="s">
        <v>3935</v>
      </c>
      <c r="E1698" s="64" t="s">
        <v>3936</v>
      </c>
      <c r="F1698" s="64" t="s">
        <v>3937</v>
      </c>
    </row>
    <row r="1699" spans="3:6">
      <c r="C1699" s="64">
        <v>1694</v>
      </c>
      <c r="E1699" s="64"/>
    </row>
    <row r="1700" spans="3:6">
      <c r="C1700" s="64">
        <v>1695</v>
      </c>
      <c r="D1700" s="57" t="s">
        <v>3938</v>
      </c>
      <c r="E1700" s="64" t="s">
        <v>3939</v>
      </c>
      <c r="F1700" s="64" t="s">
        <v>3940</v>
      </c>
    </row>
    <row r="1701" spans="3:6">
      <c r="C1701" s="64">
        <v>1696</v>
      </c>
      <c r="D1701" s="57" t="s">
        <v>3941</v>
      </c>
      <c r="E1701" s="64" t="s">
        <v>3942</v>
      </c>
      <c r="F1701" s="64" t="s">
        <v>3943</v>
      </c>
    </row>
    <row r="1702" spans="3:6">
      <c r="C1702" s="64">
        <v>1697</v>
      </c>
      <c r="D1702" s="277" t="s">
        <v>3944</v>
      </c>
      <c r="E1702" s="64" t="s">
        <v>3945</v>
      </c>
      <c r="F1702" s="64" t="s">
        <v>3946</v>
      </c>
    </row>
    <row r="1703" spans="3:6">
      <c r="C1703" s="64">
        <v>1698</v>
      </c>
      <c r="D1703" s="277" t="s">
        <v>3947</v>
      </c>
      <c r="E1703" s="64" t="s">
        <v>3948</v>
      </c>
      <c r="F1703" s="64" t="s">
        <v>3949</v>
      </c>
    </row>
    <row r="1704" spans="3:6">
      <c r="C1704" s="64">
        <v>1699</v>
      </c>
      <c r="D1704" s="277" t="s">
        <v>3950</v>
      </c>
      <c r="E1704" s="64" t="s">
        <v>3951</v>
      </c>
      <c r="F1704" s="64" t="s">
        <v>3952</v>
      </c>
    </row>
    <row r="1705" spans="3:6">
      <c r="C1705" s="64">
        <v>1700</v>
      </c>
      <c r="D1705" s="277" t="s">
        <v>3953</v>
      </c>
      <c r="E1705" s="64" t="s">
        <v>3954</v>
      </c>
      <c r="F1705" s="64" t="s">
        <v>3955</v>
      </c>
    </row>
    <row r="1706" spans="3:6">
      <c r="C1706" s="64">
        <v>1701</v>
      </c>
      <c r="D1706" s="277" t="s">
        <v>3956</v>
      </c>
      <c r="E1706" s="64" t="s">
        <v>3957</v>
      </c>
      <c r="F1706" s="64" t="s">
        <v>3958</v>
      </c>
    </row>
    <row r="1707" spans="3:6">
      <c r="C1707" s="64">
        <v>1702</v>
      </c>
      <c r="D1707" s="277" t="s">
        <v>3959</v>
      </c>
      <c r="E1707" s="64" t="s">
        <v>3960</v>
      </c>
      <c r="F1707" s="64" t="s">
        <v>3961</v>
      </c>
    </row>
    <row r="1708" spans="3:6">
      <c r="C1708" s="64">
        <v>1703</v>
      </c>
      <c r="D1708" s="277" t="s">
        <v>483</v>
      </c>
      <c r="E1708" s="64" t="s">
        <v>483</v>
      </c>
      <c r="F1708" s="64" t="s">
        <v>3962</v>
      </c>
    </row>
    <row r="1709" spans="3:6">
      <c r="C1709" s="64">
        <v>1704</v>
      </c>
      <c r="D1709" s="277" t="s">
        <v>3963</v>
      </c>
      <c r="E1709" s="64" t="s">
        <v>3963</v>
      </c>
      <c r="F1709" s="64" t="s">
        <v>3964</v>
      </c>
    </row>
    <row r="1710" spans="3:6">
      <c r="C1710" s="64">
        <v>1705</v>
      </c>
      <c r="D1710" s="277" t="s">
        <v>3965</v>
      </c>
      <c r="E1710" s="64" t="s">
        <v>3966</v>
      </c>
      <c r="F1710" s="64" t="s">
        <v>3967</v>
      </c>
    </row>
    <row r="1711" spans="3:6">
      <c r="C1711" s="64">
        <v>1706</v>
      </c>
      <c r="D1711" s="57" t="s">
        <v>3968</v>
      </c>
      <c r="E1711" s="64" t="s">
        <v>3969</v>
      </c>
      <c r="F1711" s="64" t="s">
        <v>3970</v>
      </c>
    </row>
    <row r="1712" spans="3:6">
      <c r="C1712" s="64">
        <v>1707</v>
      </c>
      <c r="E1712" s="64"/>
    </row>
    <row r="1713" spans="3:6">
      <c r="C1713" s="64">
        <v>1708</v>
      </c>
      <c r="D1713" s="64" t="s">
        <v>3971</v>
      </c>
      <c r="E1713" s="64" t="s">
        <v>3972</v>
      </c>
      <c r="F1713" s="64" t="s">
        <v>3973</v>
      </c>
    </row>
    <row r="1714" spans="3:6">
      <c r="C1714" s="64">
        <v>1709</v>
      </c>
      <c r="E1714" s="64"/>
    </row>
    <row r="1715" spans="3:6">
      <c r="C1715" s="64">
        <v>1710</v>
      </c>
      <c r="D1715" s="64" t="s">
        <v>3974</v>
      </c>
      <c r="E1715" s="64" t="s">
        <v>1642</v>
      </c>
      <c r="F1715" s="64" t="s">
        <v>3974</v>
      </c>
    </row>
    <row r="1716" spans="3:6">
      <c r="C1716" s="64">
        <v>1711</v>
      </c>
      <c r="D1716" s="64" t="s">
        <v>3975</v>
      </c>
      <c r="E1716" s="64" t="s">
        <v>3976</v>
      </c>
      <c r="F1716" s="64" t="s">
        <v>3975</v>
      </c>
    </row>
    <row r="1717" spans="3:6">
      <c r="C1717" s="64">
        <v>1712</v>
      </c>
      <c r="D1717" s="64" t="s">
        <v>2881</v>
      </c>
      <c r="E1717" s="64" t="s">
        <v>3977</v>
      </c>
      <c r="F1717" s="64" t="s">
        <v>2881</v>
      </c>
    </row>
    <row r="1718" spans="3:6">
      <c r="C1718" s="64">
        <v>1713</v>
      </c>
      <c r="D1718" s="64" t="s">
        <v>3978</v>
      </c>
      <c r="E1718" s="64" t="s">
        <v>3979</v>
      </c>
      <c r="F1718" s="64" t="s">
        <v>3980</v>
      </c>
    </row>
    <row r="1719" spans="3:6">
      <c r="C1719" s="64">
        <v>1714</v>
      </c>
      <c r="E1719" s="64"/>
    </row>
    <row r="1720" spans="3:6">
      <c r="C1720" s="64">
        <v>1715</v>
      </c>
      <c r="E1720" s="64"/>
    </row>
    <row r="1721" spans="3:6">
      <c r="C1721" s="64">
        <v>1716</v>
      </c>
      <c r="D1721" s="64" t="s">
        <v>330</v>
      </c>
      <c r="E1721" s="64" t="s">
        <v>3981</v>
      </c>
      <c r="F1721" s="64" t="s">
        <v>3981</v>
      </c>
    </row>
    <row r="1722" spans="3:6">
      <c r="C1722" s="64">
        <v>1717</v>
      </c>
      <c r="D1722" s="64" t="s">
        <v>556</v>
      </c>
      <c r="E1722" s="64" t="s">
        <v>3982</v>
      </c>
      <c r="F1722" s="64" t="s">
        <v>3983</v>
      </c>
    </row>
    <row r="1723" spans="3:6">
      <c r="C1723" s="64">
        <v>1718</v>
      </c>
      <c r="D1723" s="64" t="s">
        <v>773</v>
      </c>
      <c r="E1723" s="297" t="s">
        <v>3984</v>
      </c>
      <c r="F1723" s="64" t="s">
        <v>3985</v>
      </c>
    </row>
    <row r="1724" spans="3:6">
      <c r="C1724" s="64">
        <v>1719</v>
      </c>
      <c r="D1724" s="64" t="s">
        <v>328</v>
      </c>
      <c r="E1724" s="64" t="s">
        <v>3986</v>
      </c>
      <c r="F1724" s="64" t="s">
        <v>3987</v>
      </c>
    </row>
    <row r="1725" spans="3:6">
      <c r="C1725" s="64">
        <v>1720</v>
      </c>
      <c r="E1725" s="64"/>
    </row>
    <row r="1726" spans="3:6">
      <c r="C1726" s="64">
        <v>1721</v>
      </c>
      <c r="E1726" s="64"/>
    </row>
    <row r="1727" spans="3:6">
      <c r="C1727" s="64">
        <v>1722</v>
      </c>
      <c r="E1727" s="64"/>
    </row>
    <row r="1728" spans="3:6" ht="25.5">
      <c r="C1728" s="64">
        <v>1723</v>
      </c>
      <c r="D1728" s="64" t="s">
        <v>3924</v>
      </c>
      <c r="E1728" s="64" t="s">
        <v>3988</v>
      </c>
      <c r="F1728" s="64" t="s">
        <v>3926</v>
      </c>
    </row>
    <row r="1729" spans="3:6">
      <c r="C1729" s="64">
        <v>1724</v>
      </c>
      <c r="E1729" s="64"/>
    </row>
    <row r="1730" spans="3:6">
      <c r="C1730" s="64">
        <v>1725</v>
      </c>
      <c r="E1730" s="64"/>
    </row>
    <row r="1731" spans="3:6">
      <c r="C1731" s="64">
        <v>1726</v>
      </c>
      <c r="E1731" s="64"/>
    </row>
    <row r="1732" spans="3:6">
      <c r="C1732" s="64">
        <v>1727</v>
      </c>
      <c r="D1732" s="297" t="s">
        <v>537</v>
      </c>
      <c r="E1732" s="297" t="s">
        <v>3989</v>
      </c>
      <c r="F1732" s="297" t="s">
        <v>3990</v>
      </c>
    </row>
    <row r="1733" spans="3:6">
      <c r="C1733" s="64">
        <v>1728</v>
      </c>
      <c r="D1733" s="297" t="s">
        <v>551</v>
      </c>
      <c r="E1733" s="297" t="s">
        <v>3991</v>
      </c>
      <c r="F1733" s="297" t="s">
        <v>3992</v>
      </c>
    </row>
    <row r="1734" spans="3:6">
      <c r="C1734" s="64">
        <v>1729</v>
      </c>
      <c r="D1734" s="297" t="s">
        <v>555</v>
      </c>
      <c r="E1734" s="297" t="s">
        <v>3993</v>
      </c>
      <c r="F1734" s="297" t="s">
        <v>3994</v>
      </c>
    </row>
    <row r="1735" spans="3:6">
      <c r="C1735" s="64">
        <v>1730</v>
      </c>
      <c r="D1735" s="297" t="s">
        <v>1143</v>
      </c>
      <c r="E1735" s="297" t="s">
        <v>3995</v>
      </c>
      <c r="F1735" s="297" t="s">
        <v>3996</v>
      </c>
    </row>
    <row r="1736" spans="3:6">
      <c r="C1736" s="64">
        <v>1731</v>
      </c>
      <c r="D1736" s="297" t="s">
        <v>556</v>
      </c>
      <c r="E1736" s="297" t="s">
        <v>3982</v>
      </c>
      <c r="F1736" s="297" t="s">
        <v>3983</v>
      </c>
    </row>
    <row r="1737" spans="3:6">
      <c r="C1737" s="64">
        <v>1732</v>
      </c>
      <c r="D1737" s="297" t="s">
        <v>3997</v>
      </c>
      <c r="E1737" s="297" t="s">
        <v>3998</v>
      </c>
      <c r="F1737" s="297" t="s">
        <v>3999</v>
      </c>
    </row>
    <row r="1738" spans="3:6">
      <c r="C1738" s="64">
        <v>1733</v>
      </c>
      <c r="D1738" s="297" t="s">
        <v>1144</v>
      </c>
      <c r="E1738" s="297" t="s">
        <v>4000</v>
      </c>
      <c r="F1738" s="297" t="s">
        <v>4001</v>
      </c>
    </row>
    <row r="1739" spans="3:6">
      <c r="C1739" s="64">
        <v>1734</v>
      </c>
      <c r="D1739" s="64" t="s">
        <v>540</v>
      </c>
      <c r="E1739" s="64" t="s">
        <v>4002</v>
      </c>
      <c r="F1739" s="64" t="s">
        <v>540</v>
      </c>
    </row>
    <row r="1740" spans="3:6">
      <c r="C1740" s="64">
        <v>1735</v>
      </c>
      <c r="D1740" s="64" t="s">
        <v>549</v>
      </c>
      <c r="E1740" s="64" t="s">
        <v>4003</v>
      </c>
      <c r="F1740" s="64" t="s">
        <v>4004</v>
      </c>
    </row>
    <row r="1741" spans="3:6">
      <c r="C1741" s="64">
        <v>1736</v>
      </c>
      <c r="D1741" s="64" t="s">
        <v>550</v>
      </c>
      <c r="E1741" s="64" t="s">
        <v>4005</v>
      </c>
      <c r="F1741" s="64" t="s">
        <v>4006</v>
      </c>
    </row>
    <row r="1742" spans="3:6">
      <c r="C1742" s="64">
        <v>1737</v>
      </c>
      <c r="D1742" s="64" t="s">
        <v>535</v>
      </c>
      <c r="E1742" s="64" t="s">
        <v>4007</v>
      </c>
      <c r="F1742" s="64" t="s">
        <v>535</v>
      </c>
    </row>
    <row r="1743" spans="3:6">
      <c r="C1743" s="64">
        <v>1738</v>
      </c>
      <c r="D1743" s="64" t="s">
        <v>536</v>
      </c>
      <c r="E1743" s="64" t="s">
        <v>4008</v>
      </c>
      <c r="F1743" s="64" t="s">
        <v>4009</v>
      </c>
    </row>
    <row r="1744" spans="3:6">
      <c r="C1744" s="64">
        <v>1739</v>
      </c>
      <c r="D1744" s="64" t="s">
        <v>561</v>
      </c>
      <c r="E1744" s="64" t="s">
        <v>561</v>
      </c>
      <c r="F1744" s="64" t="s">
        <v>561</v>
      </c>
    </row>
    <row r="1745" spans="3:6">
      <c r="C1745" s="64">
        <v>1740</v>
      </c>
      <c r="D1745" s="64" t="s">
        <v>552</v>
      </c>
      <c r="E1745" s="64" t="s">
        <v>552</v>
      </c>
      <c r="F1745" s="64" t="s">
        <v>552</v>
      </c>
    </row>
    <row r="1746" spans="3:6">
      <c r="C1746" s="64">
        <v>1741</v>
      </c>
      <c r="D1746" s="64" t="s">
        <v>557</v>
      </c>
      <c r="E1746" s="64" t="s">
        <v>4010</v>
      </c>
      <c r="F1746" s="64" t="s">
        <v>4011</v>
      </c>
    </row>
    <row r="1747" spans="3:6">
      <c r="C1747" s="64">
        <v>1742</v>
      </c>
      <c r="D1747" s="64" t="s">
        <v>4012</v>
      </c>
      <c r="E1747" s="64" t="s">
        <v>4012</v>
      </c>
      <c r="F1747" s="64" t="s">
        <v>4012</v>
      </c>
    </row>
    <row r="1748" spans="3:6">
      <c r="C1748" s="64">
        <v>1743</v>
      </c>
      <c r="D1748" s="64" t="s">
        <v>4013</v>
      </c>
      <c r="E1748" s="64" t="s">
        <v>4014</v>
      </c>
      <c r="F1748" s="64" t="s">
        <v>4013</v>
      </c>
    </row>
    <row r="1749" spans="3:6">
      <c r="C1749" s="64">
        <v>1744</v>
      </c>
      <c r="D1749" s="64" t="s">
        <v>4015</v>
      </c>
      <c r="E1749" s="64" t="s">
        <v>4016</v>
      </c>
      <c r="F1749" s="64" t="s">
        <v>4015</v>
      </c>
    </row>
    <row r="1750" spans="3:6">
      <c r="C1750" s="64">
        <v>1745</v>
      </c>
      <c r="D1750" s="64" t="s">
        <v>4017</v>
      </c>
      <c r="E1750" s="64" t="s">
        <v>4018</v>
      </c>
      <c r="F1750" s="64" t="s">
        <v>4019</v>
      </c>
    </row>
    <row r="1751" spans="3:6">
      <c r="C1751" s="64">
        <v>1746</v>
      </c>
      <c r="D1751" s="64" t="s">
        <v>4020</v>
      </c>
      <c r="E1751" s="64" t="s">
        <v>4021</v>
      </c>
      <c r="F1751" s="64" t="s">
        <v>4022</v>
      </c>
    </row>
    <row r="1752" spans="3:6">
      <c r="C1752" s="64">
        <v>1747</v>
      </c>
      <c r="D1752" s="64" t="s">
        <v>4023</v>
      </c>
      <c r="E1752" s="64" t="s">
        <v>4023</v>
      </c>
      <c r="F1752" s="64" t="s">
        <v>4024</v>
      </c>
    </row>
    <row r="1753" spans="3:6">
      <c r="C1753" s="64">
        <v>1748</v>
      </c>
      <c r="D1753" s="64" t="s">
        <v>4025</v>
      </c>
      <c r="E1753" s="64" t="s">
        <v>4025</v>
      </c>
      <c r="F1753" s="64" t="s">
        <v>4026</v>
      </c>
    </row>
    <row r="1754" spans="3:6">
      <c r="C1754" s="64">
        <v>1749</v>
      </c>
      <c r="D1754" s="64" t="s">
        <v>4027</v>
      </c>
      <c r="E1754" s="64" t="s">
        <v>4028</v>
      </c>
      <c r="F1754" s="64" t="s">
        <v>4029</v>
      </c>
    </row>
    <row r="1755" spans="3:6">
      <c r="C1755" s="64">
        <v>1750</v>
      </c>
      <c r="D1755" s="64" t="s">
        <v>4030</v>
      </c>
      <c r="E1755" s="64" t="s">
        <v>4031</v>
      </c>
      <c r="F1755" s="64" t="s">
        <v>4030</v>
      </c>
    </row>
    <row r="1756" spans="3:6">
      <c r="C1756" s="64">
        <v>1751</v>
      </c>
      <c r="D1756" s="64" t="s">
        <v>320</v>
      </c>
      <c r="E1756" s="64" t="s">
        <v>4032</v>
      </c>
      <c r="F1756" s="64" t="s">
        <v>4033</v>
      </c>
    </row>
    <row r="1757" spans="3:6">
      <c r="C1757" s="64">
        <v>1752</v>
      </c>
      <c r="D1757" s="64" t="s">
        <v>4034</v>
      </c>
      <c r="E1757" s="64" t="s">
        <v>4035</v>
      </c>
      <c r="F1757" s="64" t="s">
        <v>4036</v>
      </c>
    </row>
    <row r="1758" spans="3:6">
      <c r="C1758" s="64">
        <v>1753</v>
      </c>
      <c r="D1758" s="64" t="s">
        <v>4037</v>
      </c>
      <c r="E1758" s="64" t="s">
        <v>4037</v>
      </c>
      <c r="F1758" s="64" t="s">
        <v>4037</v>
      </c>
    </row>
    <row r="1759" spans="3:6">
      <c r="C1759" s="64">
        <v>1754</v>
      </c>
      <c r="D1759" s="64" t="s">
        <v>4038</v>
      </c>
      <c r="E1759" s="64" t="s">
        <v>4039</v>
      </c>
      <c r="F1759" s="64" t="s">
        <v>4040</v>
      </c>
    </row>
    <row r="1760" spans="3:6">
      <c r="C1760" s="64">
        <v>1755</v>
      </c>
      <c r="D1760" s="64" t="s">
        <v>4041</v>
      </c>
      <c r="E1760" s="64" t="s">
        <v>4041</v>
      </c>
      <c r="F1760" s="64" t="s">
        <v>4042</v>
      </c>
    </row>
    <row r="1761" spans="3:6">
      <c r="C1761" s="297">
        <v>1756</v>
      </c>
      <c r="D1761" s="300" t="s">
        <v>4043</v>
      </c>
      <c r="E1761" s="297"/>
      <c r="F1761" s="300" t="s">
        <v>4044</v>
      </c>
    </row>
    <row r="1762" spans="3:6">
      <c r="C1762" s="297">
        <v>1757</v>
      </c>
      <c r="D1762" s="297"/>
      <c r="E1762" s="297"/>
      <c r="F1762" s="297"/>
    </row>
    <row r="1763" spans="3:6">
      <c r="C1763" s="297">
        <v>1758</v>
      </c>
      <c r="D1763" s="297"/>
      <c r="E1763" s="297"/>
      <c r="F1763" s="297"/>
    </row>
    <row r="1764" spans="3:6" ht="25.5">
      <c r="C1764" s="297">
        <v>1759</v>
      </c>
      <c r="D1764" s="302" t="s">
        <v>3516</v>
      </c>
      <c r="E1764" s="302" t="s">
        <v>3517</v>
      </c>
      <c r="F1764" s="302" t="s">
        <v>3518</v>
      </c>
    </row>
    <row r="1765" spans="3:6">
      <c r="C1765" s="297">
        <v>1760</v>
      </c>
      <c r="D1765" s="297"/>
      <c r="E1765" s="297"/>
      <c r="F1765" s="297"/>
    </row>
    <row r="1766" spans="3:6" ht="25.5">
      <c r="C1766" s="297">
        <v>1761</v>
      </c>
      <c r="D1766" s="297" t="s">
        <v>4045</v>
      </c>
      <c r="E1766" s="297" t="s">
        <v>4046</v>
      </c>
      <c r="F1766" s="300" t="s">
        <v>4047</v>
      </c>
    </row>
    <row r="1767" spans="3:6">
      <c r="C1767" s="297">
        <v>1762</v>
      </c>
      <c r="D1767" s="297"/>
      <c r="E1767" s="297"/>
      <c r="F1767" s="297"/>
    </row>
    <row r="1768" spans="3:6">
      <c r="C1768" s="297">
        <v>1763</v>
      </c>
      <c r="D1768" s="297" t="s">
        <v>4048</v>
      </c>
      <c r="E1768" s="297" t="s">
        <v>4049</v>
      </c>
      <c r="F1768" s="300" t="s">
        <v>4050</v>
      </c>
    </row>
    <row r="1769" spans="3:6">
      <c r="C1769" s="297">
        <v>1764</v>
      </c>
      <c r="D1769" s="297" t="s">
        <v>4051</v>
      </c>
      <c r="E1769" s="297" t="s">
        <v>4052</v>
      </c>
      <c r="F1769" s="300" t="s">
        <v>4053</v>
      </c>
    </row>
    <row r="1770" spans="3:6">
      <c r="C1770" s="297">
        <v>1765</v>
      </c>
      <c r="D1770" s="297" t="s">
        <v>3255</v>
      </c>
      <c r="E1770" s="297" t="s">
        <v>3256</v>
      </c>
      <c r="F1770" s="297" t="s">
        <v>3255</v>
      </c>
    </row>
    <row r="1771" spans="3:6" ht="25.5">
      <c r="C1771" s="297">
        <v>1766</v>
      </c>
      <c r="D1771" s="300" t="s">
        <v>4054</v>
      </c>
      <c r="E1771" s="297" t="s">
        <v>4055</v>
      </c>
      <c r="F1771" s="300" t="s">
        <v>4056</v>
      </c>
    </row>
    <row r="1772" spans="3:6">
      <c r="C1772" s="297">
        <v>1767</v>
      </c>
      <c r="D1772" s="300" t="s">
        <v>4057</v>
      </c>
      <c r="E1772" s="297" t="s">
        <v>4058</v>
      </c>
      <c r="F1772" s="300" t="s">
        <v>4059</v>
      </c>
    </row>
    <row r="1773" spans="3:6">
      <c r="C1773" s="297">
        <v>1768</v>
      </c>
      <c r="D1773" s="297" t="s">
        <v>4060</v>
      </c>
      <c r="E1773" s="297" t="s">
        <v>4061</v>
      </c>
      <c r="F1773" s="300" t="s">
        <v>4062</v>
      </c>
    </row>
    <row r="1774" spans="3:6" ht="38.25">
      <c r="C1774" s="297">
        <v>1769</v>
      </c>
      <c r="D1774" s="297" t="s">
        <v>4063</v>
      </c>
      <c r="E1774" s="297" t="s">
        <v>4064</v>
      </c>
      <c r="F1774" s="300" t="s">
        <v>4065</v>
      </c>
    </row>
    <row r="1775" spans="3:6">
      <c r="C1775" s="297">
        <v>1770</v>
      </c>
      <c r="D1775" s="297"/>
      <c r="E1775" s="297"/>
      <c r="F1775" s="297"/>
    </row>
    <row r="1776" spans="3:6">
      <c r="C1776" s="297">
        <v>1771</v>
      </c>
      <c r="D1776" s="297"/>
      <c r="E1776" s="297"/>
      <c r="F1776" s="297"/>
    </row>
    <row r="1777" spans="3:6">
      <c r="C1777" s="297">
        <v>1772</v>
      </c>
      <c r="D1777" s="302" t="s">
        <v>1976</v>
      </c>
      <c r="E1777" s="302" t="s">
        <v>1977</v>
      </c>
      <c r="F1777" s="302" t="s">
        <v>1978</v>
      </c>
    </row>
    <row r="1778" spans="3:6">
      <c r="C1778" s="297">
        <v>1773</v>
      </c>
      <c r="D1778" s="297"/>
      <c r="E1778" s="297"/>
      <c r="F1778" s="297"/>
    </row>
    <row r="1779" spans="3:6">
      <c r="C1779" s="297">
        <v>1774</v>
      </c>
      <c r="D1779" s="297" t="s">
        <v>4066</v>
      </c>
      <c r="E1779" s="297" t="s">
        <v>4066</v>
      </c>
      <c r="F1779" s="297" t="s">
        <v>4066</v>
      </c>
    </row>
    <row r="1780" spans="3:6">
      <c r="C1780" s="297">
        <v>1775</v>
      </c>
      <c r="D1780" s="297" t="s">
        <v>4067</v>
      </c>
      <c r="E1780" s="297" t="s">
        <v>4067</v>
      </c>
      <c r="F1780" s="297" t="s">
        <v>4067</v>
      </c>
    </row>
    <row r="1781" spans="3:6">
      <c r="C1781" s="297">
        <v>1776</v>
      </c>
      <c r="D1781" s="297" t="s">
        <v>4068</v>
      </c>
      <c r="E1781" s="297" t="s">
        <v>4068</v>
      </c>
      <c r="F1781" s="297" t="s">
        <v>4068</v>
      </c>
    </row>
    <row r="1782" spans="3:6">
      <c r="C1782" s="297">
        <v>1777</v>
      </c>
      <c r="D1782" s="297" t="s">
        <v>4069</v>
      </c>
      <c r="E1782" s="297" t="s">
        <v>4069</v>
      </c>
      <c r="F1782" s="297" t="s">
        <v>4069</v>
      </c>
    </row>
    <row r="1783" spans="3:6">
      <c r="C1783" s="297">
        <v>1778</v>
      </c>
      <c r="D1783" s="297" t="s">
        <v>4070</v>
      </c>
      <c r="E1783" s="297" t="s">
        <v>4070</v>
      </c>
      <c r="F1783" s="297" t="s">
        <v>4070</v>
      </c>
    </row>
    <row r="1784" spans="3:6">
      <c r="C1784" s="297">
        <v>1779</v>
      </c>
      <c r="D1784" s="297" t="s">
        <v>4071</v>
      </c>
      <c r="E1784" s="297" t="s">
        <v>4071</v>
      </c>
      <c r="F1784" s="297" t="s">
        <v>4071</v>
      </c>
    </row>
    <row r="1785" spans="3:6">
      <c r="C1785" s="297">
        <v>1780</v>
      </c>
      <c r="D1785" s="297" t="s">
        <v>4072</v>
      </c>
      <c r="E1785" s="297" t="s">
        <v>4072</v>
      </c>
      <c r="F1785" s="297" t="s">
        <v>4072</v>
      </c>
    </row>
    <row r="1786" spans="3:6">
      <c r="C1786" s="297">
        <v>1781</v>
      </c>
      <c r="D1786" s="297" t="s">
        <v>4073</v>
      </c>
      <c r="E1786" s="297" t="s">
        <v>4073</v>
      </c>
      <c r="F1786" s="297" t="s">
        <v>4073</v>
      </c>
    </row>
    <row r="1787" spans="3:6">
      <c r="C1787" s="297">
        <v>1782</v>
      </c>
      <c r="D1787" s="297"/>
      <c r="E1787" s="297"/>
      <c r="F1787" s="297"/>
    </row>
    <row r="1788" spans="3:6">
      <c r="C1788" s="297">
        <v>1783</v>
      </c>
      <c r="D1788" s="297"/>
      <c r="E1788" s="297"/>
      <c r="F1788" s="297"/>
    </row>
    <row r="1789" spans="3:6">
      <c r="C1789" s="297">
        <v>1784</v>
      </c>
      <c r="D1789" s="302" t="s">
        <v>2344</v>
      </c>
      <c r="E1789" s="302" t="s">
        <v>2344</v>
      </c>
      <c r="F1789" s="302" t="s">
        <v>2344</v>
      </c>
    </row>
    <row r="1790" spans="3:6">
      <c r="C1790" s="297">
        <v>1785</v>
      </c>
      <c r="D1790" s="297"/>
      <c r="E1790" s="297"/>
      <c r="F1790" s="297"/>
    </row>
    <row r="1791" spans="3:6">
      <c r="C1791" s="297">
        <v>1786</v>
      </c>
      <c r="D1791" s="297" t="s">
        <v>2474</v>
      </c>
      <c r="E1791" s="297" t="s">
        <v>2475</v>
      </c>
      <c r="F1791" s="300" t="s">
        <v>4074</v>
      </c>
    </row>
    <row r="1792" spans="3:6" ht="51">
      <c r="C1792" s="297">
        <v>1787</v>
      </c>
      <c r="D1792" s="297" t="s">
        <v>2477</v>
      </c>
      <c r="E1792" s="297" t="s">
        <v>2478</v>
      </c>
      <c r="F1792" s="300" t="s">
        <v>2479</v>
      </c>
    </row>
    <row r="1793" spans="3:6">
      <c r="C1793" s="297">
        <v>1788</v>
      </c>
      <c r="D1793" s="297"/>
      <c r="E1793" s="297"/>
      <c r="F1793" s="297"/>
    </row>
    <row r="1794" spans="3:6">
      <c r="C1794" s="297">
        <v>1789</v>
      </c>
      <c r="D1794" s="297"/>
      <c r="E1794" s="297"/>
      <c r="F1794" s="297"/>
    </row>
    <row r="1795" spans="3:6">
      <c r="C1795" s="297">
        <v>1790</v>
      </c>
      <c r="D1795" s="297" t="s">
        <v>2872</v>
      </c>
      <c r="E1795" s="297" t="s">
        <v>2873</v>
      </c>
      <c r="F1795" s="300" t="s">
        <v>4075</v>
      </c>
    </row>
    <row r="1796" spans="3:6">
      <c r="C1796" s="297">
        <v>1791</v>
      </c>
      <c r="D1796" s="297" t="s">
        <v>2875</v>
      </c>
      <c r="E1796" s="297" t="s">
        <v>2876</v>
      </c>
      <c r="F1796" s="300" t="s">
        <v>2875</v>
      </c>
    </row>
    <row r="1797" spans="3:6">
      <c r="C1797" s="297">
        <v>1792</v>
      </c>
      <c r="D1797" s="297"/>
      <c r="E1797" s="297"/>
      <c r="F1797" s="300"/>
    </row>
    <row r="1798" spans="3:6">
      <c r="C1798" s="297">
        <v>1793</v>
      </c>
      <c r="D1798" s="297" t="s">
        <v>2480</v>
      </c>
      <c r="E1798" s="297" t="s">
        <v>2481</v>
      </c>
      <c r="F1798" s="300" t="s">
        <v>4076</v>
      </c>
    </row>
    <row r="1799" spans="3:6" ht="51">
      <c r="C1799" s="297">
        <v>1794</v>
      </c>
      <c r="D1799" s="297" t="s">
        <v>2483</v>
      </c>
      <c r="E1799" s="297" t="s">
        <v>2484</v>
      </c>
      <c r="F1799" s="300" t="s">
        <v>4077</v>
      </c>
    </row>
    <row r="1800" spans="3:6">
      <c r="C1800" s="297">
        <v>1795</v>
      </c>
      <c r="D1800" s="297"/>
      <c r="E1800" s="297"/>
      <c r="F1800" s="297"/>
    </row>
    <row r="1801" spans="3:6">
      <c r="C1801" s="297">
        <v>1796</v>
      </c>
      <c r="D1801" s="297"/>
      <c r="E1801" s="297"/>
      <c r="F1801" s="297"/>
    </row>
    <row r="1802" spans="3:6">
      <c r="C1802" s="297">
        <v>1797</v>
      </c>
      <c r="D1802" s="297" t="s">
        <v>2872</v>
      </c>
      <c r="E1802" s="297" t="s">
        <v>2873</v>
      </c>
      <c r="F1802" s="300" t="s">
        <v>4075</v>
      </c>
    </row>
    <row r="1803" spans="3:6">
      <c r="C1803" s="297">
        <v>1798</v>
      </c>
      <c r="D1803" s="297" t="s">
        <v>2875</v>
      </c>
      <c r="E1803" s="297" t="s">
        <v>2876</v>
      </c>
      <c r="F1803" s="300" t="s">
        <v>2875</v>
      </c>
    </row>
    <row r="1804" spans="3:6">
      <c r="C1804" s="297">
        <v>1799</v>
      </c>
      <c r="D1804" s="297"/>
      <c r="E1804" s="297"/>
      <c r="F1804" s="297"/>
    </row>
    <row r="1805" spans="3:6">
      <c r="C1805" s="297">
        <v>1800</v>
      </c>
      <c r="D1805" s="297" t="s">
        <v>2486</v>
      </c>
      <c r="E1805" s="297" t="s">
        <v>4078</v>
      </c>
      <c r="F1805" s="300" t="s">
        <v>4079</v>
      </c>
    </row>
    <row r="1806" spans="3:6" ht="51">
      <c r="C1806" s="297">
        <v>1801</v>
      </c>
      <c r="D1806" s="297" t="s">
        <v>2489</v>
      </c>
      <c r="E1806" s="297" t="s">
        <v>4080</v>
      </c>
      <c r="F1806" s="300" t="s">
        <v>4081</v>
      </c>
    </row>
    <row r="1807" spans="3:6">
      <c r="C1807" s="297">
        <v>1802</v>
      </c>
      <c r="D1807" s="297"/>
      <c r="E1807" s="297"/>
      <c r="F1807" s="297"/>
    </row>
    <row r="1808" spans="3:6">
      <c r="C1808" s="297">
        <v>1803</v>
      </c>
      <c r="D1808" s="297" t="s">
        <v>4082</v>
      </c>
      <c r="E1808" s="297" t="s">
        <v>4083</v>
      </c>
      <c r="F1808" s="300" t="s">
        <v>4084</v>
      </c>
    </row>
    <row r="1809" spans="3:6" ht="63.75">
      <c r="C1809" s="297">
        <v>1804</v>
      </c>
      <c r="D1809" s="297" t="s">
        <v>4085</v>
      </c>
      <c r="E1809" s="297" t="s">
        <v>4086</v>
      </c>
      <c r="F1809" s="300" t="s">
        <v>4087</v>
      </c>
    </row>
    <row r="1810" spans="3:6">
      <c r="C1810" s="297">
        <v>1805</v>
      </c>
      <c r="D1810" s="297"/>
      <c r="E1810" s="297"/>
      <c r="F1810" s="297"/>
    </row>
    <row r="1811" spans="3:6">
      <c r="C1811" s="297">
        <v>1806</v>
      </c>
      <c r="D1811" s="297"/>
      <c r="E1811" s="297"/>
      <c r="F1811" s="297"/>
    </row>
    <row r="1812" spans="3:6">
      <c r="C1812" s="297">
        <v>1807</v>
      </c>
      <c r="D1812" s="297" t="s">
        <v>4088</v>
      </c>
      <c r="E1812" s="297" t="s">
        <v>4088</v>
      </c>
      <c r="F1812" s="300" t="s">
        <v>4088</v>
      </c>
    </row>
    <row r="1813" spans="3:6">
      <c r="C1813" s="297">
        <v>1808</v>
      </c>
      <c r="D1813" s="297" t="s">
        <v>4089</v>
      </c>
      <c r="E1813" s="297" t="s">
        <v>4090</v>
      </c>
      <c r="F1813" s="300" t="s">
        <v>4091</v>
      </c>
    </row>
    <row r="1814" spans="3:6">
      <c r="C1814" s="297">
        <v>1809</v>
      </c>
      <c r="D1814" s="297"/>
      <c r="E1814" s="297"/>
      <c r="F1814" s="297"/>
    </row>
    <row r="1815" spans="3:6">
      <c r="C1815" s="297">
        <v>1810</v>
      </c>
      <c r="D1815" s="297" t="s">
        <v>4092</v>
      </c>
      <c r="E1815" s="297" t="s">
        <v>2493</v>
      </c>
      <c r="F1815" s="300" t="s">
        <v>4093</v>
      </c>
    </row>
    <row r="1816" spans="3:6" ht="51">
      <c r="C1816" s="297">
        <v>1811</v>
      </c>
      <c r="D1816" s="297" t="s">
        <v>2495</v>
      </c>
      <c r="E1816" s="297" t="s">
        <v>2496</v>
      </c>
      <c r="F1816" s="300" t="s">
        <v>4094</v>
      </c>
    </row>
    <row r="1817" spans="3:6">
      <c r="C1817" s="64">
        <v>1812</v>
      </c>
      <c r="D1817" s="157" t="s">
        <v>4095</v>
      </c>
      <c r="E1817" s="64" t="s">
        <v>4096</v>
      </c>
      <c r="F1817" s="283" t="s">
        <v>4097</v>
      </c>
    </row>
    <row r="1818" spans="3:6">
      <c r="C1818" s="64">
        <v>1813</v>
      </c>
      <c r="E1818" s="64"/>
    </row>
    <row r="1819" spans="3:6">
      <c r="C1819" s="64">
        <v>1814</v>
      </c>
      <c r="D1819" s="64" t="s">
        <v>4098</v>
      </c>
      <c r="E1819" s="64" t="s">
        <v>4099</v>
      </c>
      <c r="F1819" s="283" t="s">
        <v>3999</v>
      </c>
    </row>
    <row r="1820" spans="3:6">
      <c r="C1820" s="64">
        <v>1815</v>
      </c>
      <c r="D1820" s="64" t="s">
        <v>4100</v>
      </c>
      <c r="E1820" s="64" t="s">
        <v>4101</v>
      </c>
      <c r="F1820" s="283" t="s">
        <v>4102</v>
      </c>
    </row>
    <row r="1821" spans="3:6">
      <c r="C1821" s="64">
        <v>1816</v>
      </c>
      <c r="D1821" s="64" t="s">
        <v>4103</v>
      </c>
      <c r="E1821" s="64" t="s">
        <v>4104</v>
      </c>
      <c r="F1821" s="283" t="s">
        <v>4105</v>
      </c>
    </row>
    <row r="1822" spans="3:6">
      <c r="C1822" s="64">
        <v>1817</v>
      </c>
      <c r="D1822" s="64" t="s">
        <v>4106</v>
      </c>
      <c r="E1822" s="64" t="s">
        <v>4107</v>
      </c>
      <c r="F1822" s="283" t="s">
        <v>4108</v>
      </c>
    </row>
    <row r="1823" spans="3:6">
      <c r="C1823" s="64">
        <v>1818</v>
      </c>
      <c r="D1823" s="64" t="s">
        <v>4109</v>
      </c>
      <c r="E1823" s="64" t="s">
        <v>4110</v>
      </c>
      <c r="F1823" s="283" t="s">
        <v>4111</v>
      </c>
    </row>
    <row r="1824" spans="3:6">
      <c r="C1824" s="64">
        <v>1819</v>
      </c>
      <c r="D1824" s="64" t="s">
        <v>4112</v>
      </c>
      <c r="E1824" s="297" t="s">
        <v>4113</v>
      </c>
      <c r="F1824" s="283" t="s">
        <v>4114</v>
      </c>
    </row>
    <row r="1825" spans="3:6">
      <c r="C1825" s="64">
        <v>1820</v>
      </c>
      <c r="D1825" s="64" t="s">
        <v>4115</v>
      </c>
      <c r="E1825" s="297" t="s">
        <v>4116</v>
      </c>
      <c r="F1825" s="283" t="s">
        <v>4117</v>
      </c>
    </row>
    <row r="1826" spans="3:6">
      <c r="C1826" s="64">
        <v>1821</v>
      </c>
      <c r="D1826" s="64" t="s">
        <v>4118</v>
      </c>
      <c r="E1826" s="64" t="s">
        <v>4119</v>
      </c>
      <c r="F1826" s="283" t="s">
        <v>4118</v>
      </c>
    </row>
    <row r="1827" spans="3:6">
      <c r="C1827" s="64">
        <v>1822</v>
      </c>
      <c r="D1827" s="64" t="s">
        <v>4120</v>
      </c>
      <c r="E1827" s="64" t="s">
        <v>4121</v>
      </c>
      <c r="F1827" s="283" t="s">
        <v>4122</v>
      </c>
    </row>
    <row r="1828" spans="3:6">
      <c r="C1828" s="64">
        <v>1823</v>
      </c>
      <c r="D1828" s="64" t="s">
        <v>4123</v>
      </c>
      <c r="E1828" s="283" t="s">
        <v>4124</v>
      </c>
      <c r="F1828" s="283" t="s">
        <v>4125</v>
      </c>
    </row>
    <row r="1829" spans="3:6">
      <c r="C1829" s="64">
        <v>1824</v>
      </c>
      <c r="D1829" s="64" t="s">
        <v>4066</v>
      </c>
      <c r="E1829" s="64" t="s">
        <v>4126</v>
      </c>
      <c r="F1829" s="64" t="s">
        <v>4066</v>
      </c>
    </row>
    <row r="1830" spans="3:6">
      <c r="C1830" s="64">
        <v>1825</v>
      </c>
      <c r="D1830" s="64" t="s">
        <v>4067</v>
      </c>
      <c r="E1830" s="283" t="s">
        <v>4127</v>
      </c>
      <c r="F1830" s="64" t="s">
        <v>4067</v>
      </c>
    </row>
    <row r="1831" spans="3:6">
      <c r="C1831" s="64">
        <v>1826</v>
      </c>
      <c r="D1831" s="64" t="s">
        <v>4068</v>
      </c>
      <c r="E1831" s="64" t="s">
        <v>4128</v>
      </c>
      <c r="F1831" s="64" t="s">
        <v>4068</v>
      </c>
    </row>
    <row r="1832" spans="3:6">
      <c r="C1832" s="64">
        <v>1827</v>
      </c>
      <c r="D1832" s="64" t="s">
        <v>4069</v>
      </c>
      <c r="E1832" s="64" t="s">
        <v>4129</v>
      </c>
      <c r="F1832" s="64" t="s">
        <v>4069</v>
      </c>
    </row>
    <row r="1833" spans="3:6">
      <c r="C1833" s="64">
        <v>1828</v>
      </c>
      <c r="D1833" s="64" t="s">
        <v>4070</v>
      </c>
      <c r="E1833" s="64" t="s">
        <v>4130</v>
      </c>
      <c r="F1833" s="64" t="s">
        <v>4070</v>
      </c>
    </row>
    <row r="1834" spans="3:6">
      <c r="C1834" s="64">
        <v>1829</v>
      </c>
      <c r="D1834" s="64" t="s">
        <v>4071</v>
      </c>
      <c r="E1834" s="297" t="s">
        <v>4131</v>
      </c>
      <c r="F1834" s="64" t="s">
        <v>4071</v>
      </c>
    </row>
    <row r="1835" spans="3:6">
      <c r="C1835" s="64">
        <v>1830</v>
      </c>
      <c r="D1835" s="64" t="s">
        <v>4072</v>
      </c>
      <c r="E1835" s="64" t="s">
        <v>4132</v>
      </c>
      <c r="F1835" s="64" t="s">
        <v>4072</v>
      </c>
    </row>
    <row r="1836" spans="3:6">
      <c r="C1836" s="64">
        <v>1831</v>
      </c>
      <c r="D1836" s="64" t="s">
        <v>4073</v>
      </c>
      <c r="E1836" s="64" t="s">
        <v>4133</v>
      </c>
      <c r="F1836" s="64" t="s">
        <v>4073</v>
      </c>
    </row>
    <row r="1837" spans="3:6">
      <c r="C1837" s="64">
        <v>1832</v>
      </c>
      <c r="D1837" s="283" t="s">
        <v>4134</v>
      </c>
      <c r="E1837" s="64" t="s">
        <v>4135</v>
      </c>
      <c r="F1837" s="283" t="s">
        <v>4134</v>
      </c>
    </row>
    <row r="1838" spans="3:6">
      <c r="C1838" s="64">
        <v>1833</v>
      </c>
      <c r="D1838" s="283" t="s">
        <v>4136</v>
      </c>
      <c r="E1838" s="64" t="s">
        <v>4137</v>
      </c>
      <c r="F1838" s="283" t="s">
        <v>4138</v>
      </c>
    </row>
    <row r="1839" spans="3:6">
      <c r="C1839" s="64">
        <v>1834</v>
      </c>
      <c r="D1839" s="283" t="s">
        <v>4082</v>
      </c>
      <c r="E1839" s="64" t="s">
        <v>4139</v>
      </c>
      <c r="F1839" s="283" t="s">
        <v>4084</v>
      </c>
    </row>
    <row r="1840" spans="3:6" ht="63.75">
      <c r="C1840" s="64">
        <v>1835</v>
      </c>
      <c r="D1840" s="64" t="s">
        <v>4085</v>
      </c>
      <c r="E1840" s="64" t="s">
        <v>4086</v>
      </c>
      <c r="F1840" s="64" t="s">
        <v>4087</v>
      </c>
    </row>
    <row r="1841" spans="3:6">
      <c r="C1841" s="64">
        <v>1836</v>
      </c>
      <c r="D1841" s="309" t="s">
        <v>4088</v>
      </c>
      <c r="E1841" s="64" t="s">
        <v>4088</v>
      </c>
      <c r="F1841" s="283" t="s">
        <v>4088</v>
      </c>
    </row>
    <row r="1842" spans="3:6">
      <c r="C1842" s="64">
        <v>1837</v>
      </c>
      <c r="D1842" s="309" t="s">
        <v>4089</v>
      </c>
      <c r="E1842" s="64" t="s">
        <v>4090</v>
      </c>
      <c r="F1842" s="283" t="s">
        <v>4091</v>
      </c>
    </row>
    <row r="1843" spans="3:6">
      <c r="C1843" s="64">
        <v>1838</v>
      </c>
      <c r="D1843" s="283" t="s">
        <v>121</v>
      </c>
      <c r="E1843" s="283" t="s">
        <v>4140</v>
      </c>
      <c r="F1843" s="283" t="s">
        <v>1884</v>
      </c>
    </row>
    <row r="1844" spans="3:6">
      <c r="C1844" s="64">
        <v>1839</v>
      </c>
      <c r="D1844" s="283" t="s">
        <v>4141</v>
      </c>
      <c r="E1844" s="297" t="s">
        <v>4142</v>
      </c>
      <c r="F1844" s="283" t="s">
        <v>4141</v>
      </c>
    </row>
    <row r="1845" spans="3:6" ht="15">
      <c r="C1845" s="513" t="s">
        <v>4143</v>
      </c>
      <c r="D1845" s="513"/>
      <c r="E1845" s="513"/>
      <c r="F1845" s="513"/>
    </row>
    <row r="1846" spans="3:6">
      <c r="C1846" s="64">
        <v>1840.1</v>
      </c>
      <c r="D1846" s="64" t="s">
        <v>4144</v>
      </c>
      <c r="E1846" s="64" t="s">
        <v>4144</v>
      </c>
      <c r="F1846" s="64" t="s">
        <v>4145</v>
      </c>
    </row>
    <row r="1847" spans="3:6">
      <c r="C1847" s="64">
        <v>1840</v>
      </c>
      <c r="D1847" s="64" t="s">
        <v>4146</v>
      </c>
      <c r="E1847" s="64" t="s">
        <v>4147</v>
      </c>
      <c r="F1847" s="64" t="s">
        <v>4148</v>
      </c>
    </row>
    <row r="1848" spans="3:6">
      <c r="C1848" s="64">
        <v>1841</v>
      </c>
      <c r="D1848" s="64" t="s">
        <v>4149</v>
      </c>
      <c r="E1848" s="64" t="s">
        <v>4150</v>
      </c>
      <c r="F1848" s="64" t="s">
        <v>4151</v>
      </c>
    </row>
    <row r="1849" spans="3:6">
      <c r="C1849" s="64">
        <v>1842</v>
      </c>
      <c r="D1849" s="64" t="s">
        <v>4152</v>
      </c>
      <c r="E1849" s="64" t="s">
        <v>4153</v>
      </c>
      <c r="F1849" s="64" t="s">
        <v>4154</v>
      </c>
    </row>
    <row r="1850" spans="3:6">
      <c r="C1850" s="64">
        <v>1843</v>
      </c>
      <c r="D1850" s="64" t="s">
        <v>4155</v>
      </c>
      <c r="E1850" s="64" t="s">
        <v>4156</v>
      </c>
      <c r="F1850" s="64" t="s">
        <v>4157</v>
      </c>
    </row>
    <row r="1851" spans="3:6" ht="25.5">
      <c r="C1851" s="64">
        <v>1844</v>
      </c>
      <c r="D1851" s="64" t="s">
        <v>4158</v>
      </c>
      <c r="E1851" s="64" t="s">
        <v>4159</v>
      </c>
      <c r="F1851" s="64" t="s">
        <v>4160</v>
      </c>
    </row>
    <row r="1852" spans="3:6">
      <c r="C1852" s="64">
        <v>1845</v>
      </c>
      <c r="D1852" s="64" t="s">
        <v>4161</v>
      </c>
      <c r="E1852" s="64" t="s">
        <v>4162</v>
      </c>
      <c r="F1852" s="64" t="s">
        <v>4163</v>
      </c>
    </row>
    <row r="1853" spans="3:6">
      <c r="C1853" s="64">
        <v>1846</v>
      </c>
      <c r="D1853" s="64" t="s">
        <v>4164</v>
      </c>
      <c r="E1853" s="64" t="s">
        <v>4165</v>
      </c>
      <c r="F1853" s="64" t="s">
        <v>4166</v>
      </c>
    </row>
    <row r="1854" spans="3:6">
      <c r="C1854" s="64">
        <v>1847</v>
      </c>
      <c r="D1854" s="283"/>
      <c r="E1854" s="64"/>
    </row>
    <row r="1855" spans="3:6">
      <c r="C1855" s="64">
        <v>1848</v>
      </c>
      <c r="D1855" s="64" t="s">
        <v>4167</v>
      </c>
      <c r="E1855" s="64" t="s">
        <v>4168</v>
      </c>
      <c r="F1855" s="283" t="s">
        <v>4169</v>
      </c>
    </row>
    <row r="1856" spans="3:6">
      <c r="C1856" s="64">
        <v>1849</v>
      </c>
      <c r="D1856" s="283" t="s">
        <v>4170</v>
      </c>
      <c r="E1856" s="64" t="s">
        <v>4171</v>
      </c>
      <c r="F1856" s="283" t="s">
        <v>4172</v>
      </c>
    </row>
    <row r="1857" spans="3:6">
      <c r="C1857" s="64">
        <v>1850</v>
      </c>
      <c r="D1857" s="64" t="s">
        <v>4173</v>
      </c>
      <c r="E1857" s="64" t="s">
        <v>4174</v>
      </c>
      <c r="F1857" s="64" t="s">
        <v>4175</v>
      </c>
    </row>
    <row r="1858" spans="3:6">
      <c r="C1858" s="64">
        <v>1851</v>
      </c>
      <c r="D1858" s="64" t="s">
        <v>4176</v>
      </c>
      <c r="E1858" s="64" t="s">
        <v>4177</v>
      </c>
      <c r="F1858" s="64" t="s">
        <v>4178</v>
      </c>
    </row>
    <row r="1859" spans="3:6">
      <c r="C1859" s="64">
        <v>1852</v>
      </c>
      <c r="D1859" s="64" t="s">
        <v>4179</v>
      </c>
      <c r="E1859" s="64" t="s">
        <v>4180</v>
      </c>
      <c r="F1859" s="64" t="s">
        <v>4181</v>
      </c>
    </row>
    <row r="1860" spans="3:6">
      <c r="C1860" s="64">
        <v>1853</v>
      </c>
      <c r="D1860" s="64" t="s">
        <v>4182</v>
      </c>
      <c r="E1860" s="64" t="s">
        <v>4182</v>
      </c>
      <c r="F1860" s="64" t="s">
        <v>4183</v>
      </c>
    </row>
    <row r="1861" spans="3:6">
      <c r="C1861" s="64">
        <v>1854</v>
      </c>
      <c r="D1861" s="64" t="s">
        <v>4184</v>
      </c>
      <c r="E1861" s="64" t="s">
        <v>4185</v>
      </c>
      <c r="F1861" s="64" t="s">
        <v>4186</v>
      </c>
    </row>
    <row r="1862" spans="3:6">
      <c r="C1862" s="64">
        <v>1855</v>
      </c>
      <c r="D1862" s="64" t="s">
        <v>4187</v>
      </c>
      <c r="E1862" s="64" t="s">
        <v>4188</v>
      </c>
      <c r="F1862" s="64" t="s">
        <v>4189</v>
      </c>
    </row>
    <row r="1863" spans="3:6">
      <c r="C1863" s="64">
        <v>1856</v>
      </c>
      <c r="D1863" s="64" t="s">
        <v>4190</v>
      </c>
      <c r="E1863" s="64" t="s">
        <v>4190</v>
      </c>
      <c r="F1863" s="64" t="s">
        <v>4191</v>
      </c>
    </row>
    <row r="1864" spans="3:6">
      <c r="C1864" s="64">
        <v>1857</v>
      </c>
      <c r="D1864" s="64" t="s">
        <v>4192</v>
      </c>
      <c r="E1864" s="64" t="s">
        <v>4193</v>
      </c>
      <c r="F1864" s="64" t="s">
        <v>4194</v>
      </c>
    </row>
    <row r="1865" spans="3:6">
      <c r="C1865" s="64">
        <v>1858</v>
      </c>
      <c r="E1865" s="64"/>
    </row>
    <row r="1866" spans="3:6">
      <c r="C1866" s="64">
        <v>1859</v>
      </c>
      <c r="D1866" s="64" t="s">
        <v>4195</v>
      </c>
      <c r="E1866" s="64" t="s">
        <v>4195</v>
      </c>
      <c r="F1866" s="64" t="s">
        <v>4196</v>
      </c>
    </row>
    <row r="1867" spans="3:6">
      <c r="C1867" s="64">
        <v>1860</v>
      </c>
      <c r="D1867" s="64" t="s">
        <v>2868</v>
      </c>
      <c r="E1867" s="64" t="s">
        <v>2868</v>
      </c>
      <c r="F1867" s="64" t="s">
        <v>2869</v>
      </c>
    </row>
    <row r="1868" spans="3:6">
      <c r="C1868" s="64">
        <v>1861</v>
      </c>
      <c r="D1868" s="64" t="s">
        <v>4197</v>
      </c>
      <c r="E1868" s="64" t="s">
        <v>4197</v>
      </c>
      <c r="F1868" s="64" t="s">
        <v>4198</v>
      </c>
    </row>
    <row r="1869" spans="3:6">
      <c r="C1869" s="64">
        <v>1862</v>
      </c>
      <c r="D1869" s="64" t="s">
        <v>3439</v>
      </c>
      <c r="E1869" s="64" t="s">
        <v>3439</v>
      </c>
      <c r="F1869" s="64" t="s">
        <v>3441</v>
      </c>
    </row>
    <row r="1870" spans="3:6">
      <c r="C1870" s="64">
        <v>1863</v>
      </c>
      <c r="D1870" s="64" t="s">
        <v>4199</v>
      </c>
      <c r="E1870" s="64" t="s">
        <v>4199</v>
      </c>
      <c r="F1870" s="64" t="s">
        <v>4200</v>
      </c>
    </row>
    <row r="1871" spans="3:6">
      <c r="C1871" s="64">
        <v>1864</v>
      </c>
      <c r="D1871" s="64" t="s">
        <v>4201</v>
      </c>
      <c r="E1871" s="64" t="s">
        <v>4201</v>
      </c>
      <c r="F1871" s="64" t="s">
        <v>4202</v>
      </c>
    </row>
    <row r="1872" spans="3:6">
      <c r="C1872" s="64">
        <v>1865</v>
      </c>
      <c r="D1872" s="64" t="s">
        <v>4203</v>
      </c>
      <c r="E1872" s="64" t="s">
        <v>4203</v>
      </c>
      <c r="F1872" s="64" t="s">
        <v>4203</v>
      </c>
    </row>
    <row r="1873" spans="3:6">
      <c r="C1873" s="64">
        <v>1866</v>
      </c>
      <c r="D1873" s="64" t="s">
        <v>587</v>
      </c>
      <c r="E1873" s="64" t="s">
        <v>587</v>
      </c>
      <c r="F1873" s="64" t="s">
        <v>4204</v>
      </c>
    </row>
    <row r="1874" spans="3:6">
      <c r="C1874" s="64">
        <v>1867</v>
      </c>
      <c r="D1874" s="64" t="s">
        <v>4205</v>
      </c>
      <c r="E1874" s="64" t="s">
        <v>4205</v>
      </c>
      <c r="F1874" s="64" t="s">
        <v>4206</v>
      </c>
    </row>
    <row r="1875" spans="3:6">
      <c r="C1875" s="64">
        <v>1868</v>
      </c>
      <c r="D1875" s="64" t="s">
        <v>121</v>
      </c>
      <c r="E1875" s="64" t="s">
        <v>121</v>
      </c>
      <c r="F1875" s="64" t="s">
        <v>4207</v>
      </c>
    </row>
    <row r="1876" spans="3:6">
      <c r="C1876" s="64">
        <v>1869</v>
      </c>
      <c r="D1876" s="64" t="s">
        <v>4208</v>
      </c>
      <c r="E1876" s="64" t="s">
        <v>4208</v>
      </c>
      <c r="F1876" s="64" t="s">
        <v>4209</v>
      </c>
    </row>
    <row r="1877" spans="3:6">
      <c r="C1877" s="64">
        <v>1870</v>
      </c>
      <c r="D1877" s="64" t="s">
        <v>4210</v>
      </c>
      <c r="E1877" s="64" t="s">
        <v>4210</v>
      </c>
      <c r="F1877" s="64" t="s">
        <v>4211</v>
      </c>
    </row>
    <row r="1878" spans="3:6">
      <c r="C1878" s="64">
        <v>1871</v>
      </c>
      <c r="D1878" s="314" t="s">
        <v>4212</v>
      </c>
      <c r="E1878" s="314" t="s">
        <v>4212</v>
      </c>
      <c r="F1878" s="283" t="s">
        <v>4213</v>
      </c>
    </row>
    <row r="1879" spans="3:6">
      <c r="C1879" s="64">
        <v>1872</v>
      </c>
      <c r="D1879" s="64" t="s">
        <v>4214</v>
      </c>
      <c r="E1879" s="64" t="s">
        <v>4214</v>
      </c>
      <c r="F1879" s="64" t="s">
        <v>4215</v>
      </c>
    </row>
    <row r="1880" spans="3:6" ht="25.5">
      <c r="C1880" s="64">
        <v>1873</v>
      </c>
      <c r="D1880" s="64" t="s">
        <v>4216</v>
      </c>
      <c r="E1880" s="64" t="s">
        <v>4217</v>
      </c>
      <c r="F1880" s="64" t="s">
        <v>4218</v>
      </c>
    </row>
    <row r="1881" spans="3:6" ht="25.5">
      <c r="C1881" s="64">
        <v>1874</v>
      </c>
      <c r="D1881" s="283" t="s">
        <v>4219</v>
      </c>
      <c r="E1881" s="64" t="s">
        <v>4220</v>
      </c>
      <c r="F1881" s="283" t="s">
        <v>4221</v>
      </c>
    </row>
    <row r="1882" spans="3:6">
      <c r="C1882" s="64">
        <v>1875</v>
      </c>
      <c r="E1882" s="64"/>
    </row>
    <row r="1883" spans="3:6">
      <c r="C1883" s="64">
        <v>1876</v>
      </c>
      <c r="D1883" s="64" t="s">
        <v>4222</v>
      </c>
      <c r="E1883" s="64" t="s">
        <v>4223</v>
      </c>
      <c r="F1883" s="64" t="s">
        <v>4224</v>
      </c>
    </row>
    <row r="1884" spans="3:6" ht="38.25">
      <c r="C1884" s="64">
        <v>1877</v>
      </c>
      <c r="D1884" s="64" t="s">
        <v>4225</v>
      </c>
      <c r="E1884" s="64" t="s">
        <v>4226</v>
      </c>
      <c r="F1884" s="64" t="s">
        <v>4227</v>
      </c>
    </row>
    <row r="1885" spans="3:6">
      <c r="C1885" s="64">
        <v>1878</v>
      </c>
      <c r="D1885" s="64" t="s">
        <v>4228</v>
      </c>
      <c r="E1885" s="64" t="s">
        <v>4229</v>
      </c>
      <c r="F1885" s="64" t="s">
        <v>4230</v>
      </c>
    </row>
    <row r="1886" spans="3:6" ht="25.5">
      <c r="C1886" s="64">
        <v>1879</v>
      </c>
      <c r="D1886" s="64" t="s">
        <v>4231</v>
      </c>
      <c r="E1886" s="64" t="s">
        <v>4232</v>
      </c>
      <c r="F1886" s="64" t="s">
        <v>4233</v>
      </c>
    </row>
    <row r="1887" spans="3:6">
      <c r="C1887" s="64">
        <v>1880</v>
      </c>
      <c r="D1887" s="64" t="s">
        <v>4234</v>
      </c>
      <c r="E1887" s="64" t="s">
        <v>4235</v>
      </c>
      <c r="F1887" s="64" t="s">
        <v>4236</v>
      </c>
    </row>
    <row r="1888" spans="3:6" ht="25.5">
      <c r="C1888" s="64">
        <v>1881</v>
      </c>
      <c r="D1888" s="64" t="s">
        <v>4237</v>
      </c>
      <c r="E1888" s="64" t="s">
        <v>4238</v>
      </c>
      <c r="F1888" s="64" t="s">
        <v>4239</v>
      </c>
    </row>
    <row r="1889" spans="3:6" ht="25.5">
      <c r="C1889" s="64">
        <v>1882</v>
      </c>
      <c r="D1889" s="64" t="s">
        <v>4240</v>
      </c>
      <c r="E1889" s="64" t="s">
        <v>4241</v>
      </c>
      <c r="F1889" s="64" t="s">
        <v>4242</v>
      </c>
    </row>
  </sheetData>
  <customSheetViews>
    <customSheetView guid="{177A950E-F986-4F9F-BF7A-3EE97148E8BF}" scale="70" showRuler="0">
      <selection activeCell="E978" sqref="E978"/>
      <pageMargins left="0" right="0" top="0" bottom="0" header="0" footer="0"/>
      <pageSetup paperSize="9" orientation="portrait" r:id="rId1"/>
      <headerFooter alignWithMargins="0"/>
    </customSheetView>
    <customSheetView guid="{51EFF3A7-EBAD-4444-AC2F-4C032192BE96}" state="veryHidden" topLeftCell="A1724">
      <selection activeCell="A1723" sqref="A1723"/>
      <pageMargins left="0" right="0" top="0" bottom="0" header="0" footer="0"/>
      <pageSetup paperSize="9" orientation="portrait" r:id="rId2"/>
      <headerFooter alignWithMargins="0"/>
    </customSheetView>
  </customSheetViews>
  <mergeCells count="6">
    <mergeCell ref="C1845:F1845"/>
    <mergeCell ref="D973:E973"/>
    <mergeCell ref="A1:B1"/>
    <mergeCell ref="D901:E901"/>
    <mergeCell ref="D948:E948"/>
    <mergeCell ref="D964:E964"/>
  </mergeCells>
  <phoneticPr fontId="7" type="noConversion"/>
  <dataValidations disablePrompts="1" count="1">
    <dataValidation allowBlank="1" showInputMessage="1" showErrorMessage="1" promptTitle="Debtor classification options" prompt=" " sqref="F1039 F1037 F1041" xr:uid="{00000000-0002-0000-1100-000000000000}"/>
  </dataValidations>
  <hyperlinks>
    <hyperlink ref="D296" location="Def_PartialCommercialUse" display="Partial commercial use" xr:uid="{00000000-0004-0000-1100-000000000000}"/>
    <hyperlink ref="D329" location="Def_InterestRateType" display="8. Interest rate type" xr:uid="{00000000-0004-0000-1100-000001000000}"/>
    <hyperlink ref="D338" location="Def_SelfEmployed" display="Self-employed" xr:uid="{00000000-0004-0000-1100-000002000000}"/>
    <hyperlink ref="D369" location="Def_PartialProvisioning" display="Partial provisioning" xr:uid="{00000000-0004-0000-1100-000003000000}"/>
    <hyperlink ref="D370" location="Def_FullProvisioning" display="Full provisioning" xr:uid="{00000000-0004-0000-1100-000004000000}"/>
    <hyperlink ref="D316" location="Def_Bullet" display="Bullet" xr:uid="{00000000-0004-0000-1100-000005000000}"/>
    <hyperlink ref="E296" location="Def_PartialCommercialUse" display="Partial commercial use" xr:uid="{00000000-0004-0000-1100-000006000000}"/>
    <hyperlink ref="E316" location="Def_Bullet" display="Bullet" xr:uid="{00000000-0004-0000-1100-000007000000}"/>
    <hyperlink ref="E329" location="Def_InterestRateType" display="8. Interest rate type" xr:uid="{00000000-0004-0000-1100-000008000000}"/>
  </hyperlinks>
  <pageMargins left="0.75" right="0.75" top="1" bottom="1" header="0.5" footer="0.5"/>
  <pageSetup paperSize="9" orientation="portrait" r:id="rId3"/>
  <headerFooter alignWithMargins="0"/>
  <drawing r:id="rId4"/>
  <legacyDrawing r:id="rId5"/>
  <controls>
    <mc:AlternateContent xmlns:mc="http://schemas.openxmlformats.org/markup-compatibility/2006">
      <mc:Choice Requires="x14">
        <control shapeId="96259" r:id="rId6" name="CommandButton1">
          <controlPr defaultSize="0" autoLine="0" r:id="rId7">
            <anchor moveWithCells="1" sizeWithCells="1">
              <from>
                <xdr:col>5</xdr:col>
                <xdr:colOff>533400</xdr:colOff>
                <xdr:row>423</xdr:row>
                <xdr:rowOff>0</xdr:rowOff>
              </from>
              <to>
                <xdr:col>6</xdr:col>
                <xdr:colOff>676275</xdr:colOff>
                <xdr:row>423</xdr:row>
                <xdr:rowOff>0</xdr:rowOff>
              </to>
            </anchor>
          </controlPr>
        </control>
      </mc:Choice>
      <mc:Fallback>
        <control shapeId="96259" r:id="rId6" name="CommandButton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I s S a n d b o x E m b e d d e d " > < C u s t o m C o n t e n t > < ! [ C D A T A [ y e s ] ] > < / C u s t o m C o n t e n t > < / G e m i n i > 
</file>

<file path=customXml/item10.xml>��< ? x m l   v e r s i o n = " 1 . 0 "   e n c o d i n g = " U T F - 1 6 " ? > < G e m i n i   x m l n s = " h t t p : / / g e m i n i / p i v o t c u s t o m i z a t i o n / R e l a t i o n s h i p A u t o D e t e c t i o n E n a b l e d " > < C u s t o m C o n t e n t > < ! [ C D A T A [ T r u e ] ] > < / C u s t o m C o n t e n t > < / G e m i n i > 
</file>

<file path=customXml/item11.xml>��< ? x m l   v e r s i o n = " 1 . 0 "   e n c o d i n g = " U T F - 1 6 " ? > < G e m i n i   x m l n s = " h t t p : / / g e m i n i / p i v o t c u s t o m i z a t i o n / C l i e n t W i n d o w X M L " > < C u s t o m C o n t e n t > < ! [ C D A T A [ P U B L I C _ S E C T O R _ L O A N _ 4 f 9 0 7 e 3 9 - 7 a c 1 - 4 7 d 5 - 8 c 0 0 - e 5 0 4 c 0 e 3 c f e 6 ] ] > < / C u s t o m C o n t e n t > < / G e m i n i > 
</file>

<file path=customXml/item1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 C O M M E R C I A L _ L O A N 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 C O M M E R C I A L _ L O A N 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 C o l u m n s \ L O A N _ I D < / 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 C o l u m n s \ C O M M I T T E D _ F U R T H E R _ A D V A N C E < / K e y > < / a : K e y > < a : V a l u e   i : t y p e = " T a b l e W i d g e t B a s e V i e w S t a t e " / > < / a : K e y V a l u e O f D i a g r a m O b j e c t K e y a n y T y p e z b w N T n L X > < a : K e y V a l u e O f D i a g r a m O b j e c t K e y a n y T y p e z b w N T n L X > < a : K e y > < K e y > C o l u m n s \ S C H E D U L E D _ L O A N _ B A L A N C E _ A T _ M A T U R I T Y _ 1 < / K e y > < / a : K e y > < a : V a l u e   i : t y p e = " T a b l e W i d g e t B a s e V i e w S t a t e " / > < / a : K e y V a l u e O f D i a g r a m O b j e c t K e y a n y T y p e z b w N T n L X > < a : K e y V a l u e O f D i a g r a m O b j e c t K e y a n y T y p e z b w N T n L X > < a : K e y > < K e y > C o l u m n s \ S C H E D U L E D _ L O A N _ B A L A N C E _ A T _ M A T U R I T Y _ 2 < / K e y > < / a : K e y > < a : V a l u e   i : t y p e = " T a b l e W i d g e t B a s e V i e w S t a t e " / > < / a : K e y V a l u e O f D i a g r a m O b j e c t K e y a n y T y p e z b w N T n L X > < a : K e y V a l u e O f D i a g r a m O b j e c t K e y a n y T y p e z b w N T n L X > < a : K e y > < K e y > C o l u m n s \ R E M A I N I N G _ T E R M _ I N _ M O N T H S < / K e y > < / a : K e y > < a : V a l u e   i : t y p e = " T a b l e W i d g e t B a s e V i e w S t a t e " / > < / a : K e y V a l u e O f D i a g r a m O b j e c t K e y a n y T y p e z b w N T n L X > < a : K e y V a l u e O f D i a g r a m O b j e c t K e y a n y T y p e z b w N T n L X > < a : K e y > < K e y > C o l u m n s \ S C H E D U L E D _ M A T U R I T Y _ D A T E _ O N _ L O A N < / 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 C o l u m n s \ L O A N _ O R I G I N A T I O N _ D A T E < / K e y > < / a : K e y > < a : V a l u e   i : t y p e = " T a b l e W i d g e t B a s e V i e w S t a t e " / > < / a : K e y V a l u e O f D i a g r a m O b j e c t K e y a n y T y p e z b w N T n L X > < a : K e y V a l u e O f D i a g r a m O b j e c t K e y a n y T y p e z b w N T n L X > < a : K e y > < K e y > C o l u m n s \ W H O L E _ L T V < / K e y > < / a : K e y > < a : V a l u e   i : t y p e = " T a b l e W i d g e t B a s e V i e w S t a t e " / > < / a : K e y V a l u e O f D i a g r a m O b j e c t K e y a n y T y p e z b w N T n L X > < a : K e y V a l u e O f D i a g r a m O b j e c t K e y a n y T y p e z b w N T n L X > < a : K e y > < K e y > C o l u m n s \ J U N I O R _ R A N K S < / 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 C o l u m n s \ B A S I S _ O R _ R E F E R E N C E _ R A T E < / K e y > < / a : K e y > < a : V a l u e   i : t y p e = " T a b l e W i d g e t B a s e V i e w S t a t e " / > < / a : K e y V a l u e O f D i a g r a m O b j e c t K e y a n y T y p e z b w N T n L X > < a : K e y V a l u e O f D i a g r a m O b j e c t K e y a n y T y p e z b w N T n L X > < a : K e y > < K e y > C o l u m n s \ D S C R < / 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 C o l u m n s \ D E B T O R _ I D < / 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 C o l u m n s \ D E B T O R _ T Y P E < / K e y > < / a : K e y > < a : V a l u e   i : t y p e = " T a b l e W i d g e t B a s e V i e w S t a t e " / > < / a : K e y V a l u e O f D i a g r a m O b j e c t K e y a n y T y p e z b w N T n L X > < a : K e y V a l u e O f D i a g r a m O b j e c t K e y a n y T y p e z b w N T n L X > < a : K e y > < K e y > C o l u m n s \ R E C O U R S E _ T O _ B O R R O W E R < / K e y > < / a : K e y > < a : V a l u e   i : t y p e = " T a b l e W i d g e t B a s e V i e w S t a t e " / > < / a : K e y V a l u e O f D i a g r a m O b j e c t K e y a n y T y p e z b w N T n L X > < a : K e y V a l u e O f D i a g r a m O b j e c t K e y a n y T y p e z b w N T n L X > < a : K e y > < K e y > C o l u m n s \ P R O P E R T Y _ I D < / K e y > < / a : K e y > < a : V a l u e   i : t y p e = " T a b l e W i d g e t B a s e V i e w S t a t e " / > < / a : K e y V a l u e O f D i a g r a m O b j e c t K e y a n y T y p e z b w N T n L X > < a : K e y V a l u e O f D i a g r a m O b j e c t K e y a n y T y p e z b w N T n L X > < a : K e y > < K e y > C o l u m n s \ V A L U A T I O N _ O F _ P R O P E R T Y _ I N _ D E F A U L T _ C U R R E N C Y < / K e y > < / a : K e y > < a : V a l u e   i : t y p e = " T a b l e W i d g e t B a s e V i e w S t a t e " / > < / a : K e y V a l u e O f D i a g r a m O b j e c t K e y a n y T y p e z b w N T n L X > < a : K e y V a l u e O f D i a g r a m O b j e c t K e y a n y T y p e z b w N T n L X > < a : K e y > < K e y > C o l u m n s \ V A L U A T I O N _ O F _ P R O P E R T Y _ I N _ C U R R E N C Y _ O F _ T H E _ L O A N < / K e y > < / a : K e y > < a : V a l u e   i : t y p e = " T a b l e W i d g e t B a s e V i e w S t a t e " / > < / a : K e y V a l u e O f D i a g r a m O b j e c t K e y a n y T y p e z b w N T n L X > < a : K e y V a l u e O f D i a g r a m O b j e c t K e y a n y T y p e z b w N T n L X > < a : K e y > < K e y > C o l u m n s \ U P D A T E D _ V A L U A T I O N _ O F _ P R O P E R T Y < / K e y > < / a : K e y > < a : V a l u e   i : t y p e = " T a b l e W i d g e t B a s e V i e w S t a t e " / > < / a : K e y V a l u e O f D i a g r a m O b j e c t K e y a n y T y p e z b w N T n L X > < a : K e y V a l u e O f D i a g r a m O b j e c t K e y a n y T y p e z b w N T n L X > < a : K e y > < K e y > C o l u m n s \ D A T E _ O F _ V A L U A T I O N _ U S E D _ F O R _ L T V < / K e y > < / a : K e y > < a : V a l u e   i : t y p e = " T a b l e W i d g e t B a s e V i e w S t a t e " / > < / a : K e y V a l u e O f D i a g r a m O b j e c t K e y a n y T y p e z b w N T n L X > < a : K e y V a l u e O f D i a g r a m O b j e c t K e y a n y T y p e z b w N T n L X > < a : K e y > < K e y > C o l u m n s \ V A L U A T I O N _ T Y P E < / K e y > < / a : K e y > < a : V a l u e   i : t y p e = " T a b l e W i d g e t B a s e V i e w S t a t e " / > < / a : K e y V a l u e O f D i a g r a m O b j e c t K e y a n y T y p e z b w N T n L X > < a : K e y V a l u e O f D i a g r a m O b j e c t K e y a n y T y p e z b w N T n L X > < a : K e y > < K e y > C o l u m n s \ C O U N T R Y _ P R O P E R T Y < / K e y > < / a : K e y > < a : V a l u e   i : t y p e = " T a b l e W i d g e t B a s e V i e w S t a t e " / > < / a : K e y V a l u e O f D i a g r a m O b j e c t K e y a n y T y p e z b w N T n L X > < a : K e y V a l u e O f D i a g r a m O b j e c t K e y a n y T y p e z b w N T n L X > < a : K e y > < K e y > C o l u m n s \ R E G I O N < / 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 C o l u m n s \ E L I G I B L E < / K e y > < / a : K e y > < a : V a l u e   i : t y p e = " T a b l e W i d g e t B a s e V i e w S t a t e " / > < / a : K e y V a l u e O f D i a g r a m O b j e c t K e y a n y T y p e z b w N T n L X > < a : K e y V a l u e O f D i a g r a m O b j e c t K e y a n y T y p e z b w N T n L X > < a : K e y > < K e y > C o l u m n s \ P O S T A L _ C O D E 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 C o l u m n s \ L O A N _ B A L A N C E _ 3 < / K e y > < / a : K e y > < a : V a l u e   i : t y p e = " T a b l e W i d g e t B a s e V i e w S t a t e " / > < / a : K e y V a l u e O f D i a g r a m O b j e c t K e y a n y T y p e z b w N T n L X > < a : K e y V a l u e O f D i a g r a m O b j e c t K e y a n y T y p e z b w N T n L X > < a : K e y > < K e y > C o l u m n s \ L O A N _ B A L A N C E _ 4 < / K e y > < / a : K e y > < a : V a l u e   i : t y p e = " T a b l e W i d g e t B a s e V i e w S t a t e " / > < / a : K e y V a l u e O f D i a g r a m O b j e c t K e y a n y T y p e z b w N T n L X > < a : K e y V a l u e O f D i a g r a m O b j e c t K e y a n y T y p e z b w N T n L X > < a : K e y > < K e y > C o l u m n s \ E L I G I B L E _ L T V < / K e y > < / a : K e y > < a : V a l u e   i : t y p e = " T a b l e W i d g e t B a s e V i e w S t a t e " / > < / a : K e y V a l u e O f D i a g r a m O b j e c t K e y a n y T y p e z b w N T n L X > < a : K e y V a l u e O f D i a g r a m O b j e c t K e y a n y T y p e z b w N T n L X > < a : K e y > < K e y > C o l u m n s \ P R I O R _ R A N K S _ S E C U R E D _ B Y _ P R O P E R T Y _ B U C K E T S 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 C o l u m n s \ B A S E L 2 _ S E G M E N T < / 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 C o l u m n s \ I S I N < / 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 C o l u m n s \ C U R R E N C Y < / K e y > < / a : K e y > < a : V a l u e   i : t y p e = " T a b l e W i d g e t B a s e V i e w S t a t e " / > < / a : K e y V a l u e O f D i a g r a m O b j e c t K e y a n y T y p e z b w N T n L X > < a : K e y V a l u e O f D i a g r a m O b j e c t K e y a n y T y p e z b w N T n L X > < a : K e y > < K e y > C o l u m n s \ C U R R E N T _ B A L A N C E _ I N _ I S S U E D _ C U R R E N C Y < / K e y > < / a : K e y > < a : V a l u e   i : t y p e = " T a b l e W i d g e t B a s e V i e w S t a t e " / > < / a : K e y V a l u e O f D i a g r a m O b j e c t K e y a n y T y p e z b w N T n L X > < a : K e y V a l u e O f D i a g r a m O b j e c t K e y a n y T y p e z b w N T n L X > < a : K e y > < K e y > C o l u m n s \ C U R R E N T _ B A L A N C E _ I N _ D E F A U L T _ C U R R E N C Y < / K e y > < / a : K e y > < a : V a l u e   i : t y p e = " T a b l e W i d g e t B a s e V i e w S t a t e " / > < / a : K e y V a l u e O f D i a g r a m O b j e c t K e y a n y T y p e z b w N T n L X > < a : K e y V a l u e O f D i a g r a m O b j e c t K e y a n y T y p e z b w N T n L X > < a : K e y > < K e y > C o l u m n s \ E X P E C T E D _ M A T U R I T Y _ D A T E < / K e y > < / a : K e y > < a : V a l u e   i : t y p e = " T a b l e W i d g e t B a s e V i e w S t a t e " / > < / a : K e y V a l u e O f D i a g r a m O b j e c t K e y a n y T y p e z b w N T n L X > < a : K e y V a l u e O f D i a g r a m O b j e c t K e y a n y T y p e z b w N T n L X > < a : K e y > < K e y > C o l u m n s \ E X T E N D E D _ M A T U R I T Y _ D A T E < / K e y > < / a : K e y > < a : V a l u e   i : t y p e = " T a b l e W i d g e t B a s e V i e w S t a t e " / > < / a : K e y V a l u e O f D i a g r a m O b j e c t K e y a n y T y p e z b w N T n L X > < a : K e y V a l u e O f D i a g r a m O b j e c t K e y a n y T y p e z b w N T n L X > < a : K e y > < K e y > C o l u m n s \ N E X T _ I N T E R E S T _ P A Y M E N T _ D A T E < / K e y > < / a : K e y > < a : V a l u e   i : t y p e = " T a b l e W i d g e t B a s e V i e w S t a t e " / > < / a : K e y V a l u e O f D i a g r a m O b j e c t K e y a n y T y p e z b w N T n L X > < a : K e y V a l u e O f D i a g r a m O b j e c t K e y a n y T y p e z b w N T n L X > < a : K e y > < K e y > C o l u m n s \ N E X T _ P R I N C I P A L _ P A Y M E N T _ D A T E 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 C o l u m n s \ P R I N C I P A L _ R E D E M P T I O N _ T Y P E < / 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 C o l u m n s \ D A T E _ O F _ I S S U A N C E < / K e y > < / a : K e y > < a : V a l u e   i : t y p e = " T a b l e W i d g e t B a s e V i e w S t a t e " / > < / a : K e y V a l u e O f D i a g r a m O b j e c t K e y a n y T y p e z b w N T n L X > < a : K e y V a l u e O f D i a g r a m O b j e c t K e y a n y T y p e z b w N T n L X > < a : K e y > < K e y > C o l u m n s \ S E R I E S _ N U M B E R < / K e y > < / a : K e y > < a : V a l u e   i : t y p e = " T a b l e W i d g e t B a s e V i e w S t a t e " / > < / a : K e y V a l u e O f D i a g r a m O b j e c t K e y a n y T y p e z b w N T n L X > < a : K e y V a l u e O f D i a g r a m O b j e c t K e y a n y T y p e z b w N T n L X > < a : K e y > < K e y > C o l u m n s \ E S G _ B O N D < / K e y > < / a : K e y > < a : V a l u e   i : t y p e = " T a b l e W i d g e t B a s e V i e w S t a t e " / > < / a : K e y V a l u e O f D i a g r a m O b j e c t K e y a n y T y p e z b w N T n L X > < a : K e y V a l u e O f D i a g r a m O b j e c t K e y a n y T y p e z b w N T n L X > < a : K e y > < K e y > C o l u m n s \ S T R U C T U R E D _ F E A T U R E S < / K e y > < / a : K e y > < a : V a l u e   i : t y p e = " T a b l e W i d g e t B a s e V i e w S t a t e " / > < / a : K e y V a l u e O f D i a g r a m O b j e c t K e y a n y T y p e z b w N T n L X > < a : K e y V a l u e O f D i a g r a m O b j e c t K e y a n y T y p e z b w N T n L X > < a : K e y > < K e y > C o l u m n s \ P R I V A T E _ I S S U A N C E < / 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 R E S I D E N T I A L _ L O A N 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 R E S I D E N T I A L _ L O A N 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 C o l u m n s \ K O N T O N U M M E R < / K e y > < / a : K e y > < a : V a l u e   i : t y p e = " T a b l e W i d g e t B a s e V i e w S t a t e " / > < / a : K e y V a l u e O f D i a g r a m O b j e c t K e y a n y T y p e z b w N T n L X > < a : K e y V a l u e O f D i a g r a m O b j e c t K e y a n y T y p e z b w N T n L X > < a : K e y > < K e y > C o l u m n s \ S E G M E N T < / K e y > < / a : K e y > < a : V a l u e   i : t y p e = " T a b l e W i d g e t B a s e V i e w S t a t e " / > < / a : K e y V a l u e O f D i a g r a m O b j e c t K e y a n y T y p e z b w N T n L X > < a : K e y V a l u e O f D i a g r a m O b j e c t K e y a n y T y p e z b w N T n L X > < a : K e y > < K e y > C o l u m n s \ S L I C E 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 C o l u m n s \ L T V _ B U C K E T < / K e y > < / a : K e y > < a : V a l u e   i : t y p e = " T a b l e W i d g e t B a s e V i e w S t a t e " / > < / a : K e y V a l u e O f D i a g r a m O b j e c t K e y a n y T y p e z b w N T n L X > < a : K e y V a l u e O f D i a g r a m O b j e c t K e y a n y T y p e z b w N T n L X > < a : K e y > < K e y > C o l u m n s \ K U N D E N N U M M E R < / 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 C o l u m n s \ S E A S O N I N G _ B U C K E T < / 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 C o l u m n s \ P U R P O S E _ T Y P E 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 C o l u m n s \ E M P L O Y M E N T _ T Y P E < / K e y > < / a : K e y > < a : V a l u e   i : t y p e = " T a b l e W i d g e t B a s e V i e w S t a t e " / > < / a : K e y V a l u e O f D i a g r a m O b j e c t K e y a n y T y p e z b w N T n L X > < a : K e y V a l u e O f D i a g r a m O b j e c t K e y a n y T y p e z b w N T n L X > < a : K e y > < K e y > C o l u m n s \ V E R Z U G S T A G E < / K e y > < / a : K e y > < a : V a l u e   i : t y p e = " T a b l e W i d g e t B a s e V i e w S t a t e " / > < / a : K e y V a l u e O f D i a g r a m O b j e c t K e y a n y T y p e z b w N T n L X > < a : K e y V a l u e O f D i a g r a m O b j e c t K e y a n y T y p e z b w N T n L X > < a : K e y > < K e y > C o l u m n s \ R E G I O N S < / K e y > < / a : K e y > < a : V a l u e   i : t y p e = " T a b l e W i d g e t B a s e V i e w S t a t e " / > < / a : K e y V a l u e O f D i a g r a m O b j e c t K e y a n y T y p e z b w N T n L X > < a : K e y V a l u e O f D i a g r a m O b j e c t K e y a n y T y p e z b w N T n L X > < a : K e y > < K e y > C o l u m n s \ N H G _ G U A R A N T E E D < / 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 C o l u m n s \ O C C U P A N C Y _ T Y P E 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 C o l u m n s \ B O N D _ I N T E R E S T _ R A T E _ T Y P E 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 C o l u m n s \ P R I N C I P A L _ P A I D < / K e y > < / a : K e y > < a : V a l u e   i : t y p e = " T a b l e W i d g e t B a s e V i e w S t a t e " / > < / a : K e y V a l u e O f D i a g r a m O b j e c t K e y a n y T y p e z b w N T n L X > < a : K e y V a l u e O f D i a g r a m O b j e c t K e y a n y T y p e z b w N T n L X > < a : K e y > < K e y > C o l u m n s \ I N T E R E S T _ P A I D 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 D a t a U p d a t e i n f o 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 D a t a U p d a t e i n f o 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 C o l u m n s \ S t i c h t a g < / K e y > < / a : K e y > < a : V a l u e   i : t y p e = " T a b l e W i d g e t B a s e V i e w S t a t e " / > < / a : K e y V a l u e O f D i a g r a m O b j e c t K e y a n y T y p e z b w N T n L X > < a : K e y V a l u e O f D i a g r a m O b j e c t K e y a n y T y p e z b w N T n L X > < a : K e y > < K e y > C o l u m n s \ L e t z t e   A k t u a l i s i e r u n g < / 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 L O A N _ C A S H F L O W 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 L O A N _ C A S H F L O W 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 C o l u m n s \ K Z _ Z E S S I O N _ W I D M U N G < / K e y > < / a : K e y > < a : V a l u e   i : t y p e = " T a b l e W i d g e t B a s e V i e w S t a t e " / > < / a : K e y V a l u e O f D i a g r a m O b j e c t K e y a n y T y p e z b w N T n L X > < a : K e y V a l u e O f D i a g r a m O b j e c t K e y a n y T y p e z b w N T n L X > < a : K e y > < K e y > C o l u m n s \ L O A N _ I N T E R E S T _ R A T E _ T Y P E 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 C o l u m n s \ P R I N C I P A L _ R E C E I V E D < / K e y > < / a : K e y > < a : V a l u e   i : t y p e = " T a b l e W i d g e t B a s e V i e w S t a t e " / > < / a : K e y V a l u e O f D i a g r a m O b j e c t K e y a n y T y p e z b w N T n L X > < a : K e y V a l u e O f D i a g r a m O b j e c t K e y a n y T y p e z b w N T n L X > < a : K e y > < K e y > C o l u m n s \ I N T E R E S T _ R E C E I V E D 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 S T A G E _ F X _ R A T E 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 S T A G E _ F X _ R A T E 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 C o l u m n s \ W A E H R U N G < / K e y > < / a : K e y > < a : V a l u e   i : t y p e = " T a b l e W i d g e t B a s e V i e w S t a t e " / > < / a : K e y V a l u e O f D i a g r a m O b j e c t K e y a n y T y p e z b w N T n L X > < a : K e y V a l u e O f D i a g r a m O b j e c t K e y a n y T y p e z b w N T n L X > < a : K e y > < K e y > C o l u m n s \ M I T T E L K U R S 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K e y > < / a : K e y > < a : V a l u e   i : t y p e = " T a b l e W i d g e t B a s e V i e w S t a t e " / > < / a : K e y V a l u e O f D i a g r a m O b j e c t K e y a n y T y p e z b w N T n L X > < a : K e y V a l u e O f D i a g r a m O b j e c t K e y a n y T y p e z b w N T n L X > < a : K e y > < K e y > C o l u m n s \ b < / 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 P U B L I C _ S E C T O R _ L O A N 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 P U B L I C _ S E C T O R _ L O A N 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 C o l u m n s \ D E B T O R _ I D E N T I F I E R _ N U M B E R < / K e y > < / a : K e y > < a : V a l u e   i : t y p e = " T a b l e W i d g e t B a s e V i e w S t a t e " / > < / a : K e y V a l u e O f D i a g r a m O b j e c t K e y a n y T y p e z b w N T n L X > < a : K e y V a l u e O f D i a g r a m O b j e c t K e y a n y T y p e z b w N T n L X > < a : K e y > < K e y > C o l u m n s \ T Y P E _ O F _ E X P O S U R E < / K e y > < / a : K e y > < a : V a l u e   i : t y p e = " T a b l e W i d g e t B a s e V i e w S t a t e " / > < / a : K e y V a l u e O f D i a g r a m O b j e c t K e y a n y T y p e z b w N T n L X > < a : K e y V a l u e O f D i a g r a m O b j e c t K e y a n y T y p e z b w N T n L X > < a : K e y > < K e y > C o l u m n s \ D E B T O R _ C O U N T R Y < / K e y > < / a : K e y > < a : V a l u e   i : t y p e = " T a b l e W i d g e t B a s e V i e w S t a t e " / > < / a : K e y V a l u e O f D i a g r a m O b j e c t K e y a n y T y p e z b w N T n L X > < a : K e y V a l u e O f D i a g r a m O b j e c t K e y a n y T y p e z b w N T n L X > < a : K e y > < K e y > C o l u m n s \ D E B T O R _ R E G I O N < / K e y > < / a : K e y > < a : V a l u e   i : t y p e = " T a b l e W i d g e t B a s e V i e w S t a t e " / > < / a : K e y V a l u e O f D i a g r a m O b j e c t K e y a n y T y p e z b w N T n L X > < a : K e y V a l u e O f D i a g r a m O b j e c t K e y a n y T y p e z b w N T n L X > < a : K e y > < K e y > C o l u m n s \ L O A N _ I D E N T I F I E R _ N U M B E R < / 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 C o l u m n s \ M A T U R I T Y _ D A T E < / 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 C o l u m n s \ E L I G I B L E _ F O R _ E C B _ O R _ C E N T R A L _ B A N K < / 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 C o l u m n s \ B A C K E D _ B Y _ M O R T G A G E 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 C o l u m n s \ L A R G E S T _ G O V E R N M E N T _ G U A R A N T O R _ N A M E < / K e y > < / a : K e y > < a : V a l u e   i : t y p e = " T a b l e W i d g e t B a s e V i e w S t a t e " / > < / a : K e y V a l u e O f D i a g r a m O b j e c t K e y a n y T y p e z b w N T n L X > < a : K e y V a l u e O f D i a g r a m O b j e c t K e y a n y T y p e z b w N T n L X > < a : K e y > < K e y > C o l u m n s \ L A R G E S T _ G O V E R N M E N T _ G U A R A N T O R _ I D E N T I F I E R _ N U M B E R < / K e y > < / a : K e y > < a : V a l u e   i : t y p e = " T a b l e W i d g e t B a s e V i e w S t a t e " / > < / a : K e y V a l u e O f D i a g r a m O b j e c t K e y a n y T y p e z b w N T n L X > < a : K e y V a l u e O f D i a g r a m O b j e c t K e y a n y T y p e z b w N T n L X > < a : K e y > < K e y > C o l u m n s \ L A R G E S T _ G O V E R N M E N T _ G U A R A N T O R _ C O U N T R Y < / K e y > < / a : K e y > < a : V a l u e   i : t y p e = " T a b l e W i d g e t B a s e V i e w S t a t e " / > < / a : K e y V a l u e O f D i a g r a m O b j e c t K e y a n y T y p e z b w N T n L X > < a : K e y V a l u e O f D i a g r a m O b j e c t K e y a n y T y p e z b w N T n L X > < a : K e y > < K e y > C o l u m n s \ L A R G E S T _ G O V E R N M E N T _ G U A R A N T O R _ R E G I O N < / K e y > < / a : K e y > < a : V a l u e   i : t y p e = " T a b l e W i d g e t B a s e V i e w S t a t e " / > < / a : K e y V a l u e O f D i a g r a m O b j e c t K e y a n y T y p e z b w N T n L X > < a : K e y V a l u e O f D i a g r a m O b j e c t K e y a n y T y p e z b w N T n L X > < a : K e y > < K e y > C o l u m n s \ D E B T O R _ P O S T A L _ C O D E < / K e y > < / a : K e y > < a : V a l u e   i : t y p e = " T a b l e W i d g e t B a s e V i e w S t a t e " / > < / a : K e y V a l u e O f D i a g r a m O b j e c t K e y a n y T y p e z b w N T n L X > < a : K e y V a l u e O f D i a g r a m O b j e c t K e y a n y T y p e z b w N T n L X > < a : K e y > < K e y > C o l u m n s \ L A R G E S T _ G O V E R N M E N T _ G U A R A N T O R _ P O S T A L _ C O D E < / K e y > < / a : K e y > < a : V a l u e   i : t y p e = " T a b l e W i d g e t B a s e V i e w S t a t e " / > < / a : K e y V a l u e O f D i a g r a m O b j e c t K e y a n y T y p e z b w N T n L X > < a : K e y V a l u e O f D i a g r a m O b j e c t K e y a n y T y p e z b w N T n L X > < a : K e y > < K e y > C o l u m n s \ L A R G E S T _ G O V E R N M E N T _ G U A R A N T O R _ T Y P E < / K e y > < / a : K e y > < a : V a l u e   i : t y p e = " T a b l e W i d g e t B a s e V i e w S t a t e " / > < / a : K e y V a l u e O f D i a g r a m O b j e c t K e y a n y T y p e z b w N T n L X > < a : K e y V a l u e O f D i a g r a m O b j e c t K e y a n y T y p e z b w N T n L X > < a : K e y > < K e y > C o l u m n s \ N B R _ O F _ G O V E R N M E N T _ G U A R A N T O R S < / K e y > < / a : K e y > < a : V a l u e   i : t y p e = " T a b l e W i d g e t B a s e V i e w S t a t e " / > < / a : K e y V a l u e O f D i a g r a m O b j e c t K e y a n y T y p e z b w N T n L X > < a : K e y V a l u e O f D i a g r a m O b j e c t K e y a n y T y p e z b w N T n L X > < a : K e y > < K e y > C o l u m n s \ O W N E R S H I P _ P O S I T I O N < / K e y > < / a : K e y > < a : V a l u e   i : t y p e = " T a b l e W i d g e t B a s e V i e w S t a t e " / > < / a : K e y V a l u e O f D i a g r a m O b j e c t K e y a n y T y p e z b w N T n L X > < a : K e y V a l u e O f D i a g r a m O b j e c t K e y a n y T y p e z b w N T n L X > < a : K e y > < K e y > C o l u m n s \ S E C T O R < / 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3.xml>��< ? x m l   v e r s i o n = " 1 . 0 "   e n c o d i n g = " U T F - 1 6 " ? > < G e m i n i   x m l n s = " h t t p : / / g e m i n i / p i v o t c u s t o m i z a t i o n / L i n k e d T a b l e U p d a t e M o d e " > < C u s t o m C o n t e n t > < ! [ C D A T A [ T r u e ] ] > < / C u s t o m C o n t e n t > < / G e m i n i > 
</file>

<file path=customXml/item14.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 C O M M E R C I A L _ L O A N _ 4 c f 6 2 b a e - f 9 e 1 - 4 3 0 6 - 8 0 7 a - f f c b 3 f 5 8 a 4 e 9 < / K e y > < V a l u e   x m l n s : a = " h t t p : / / s c h e m a s . d a t a c o n t r a c t . o r g / 2 0 0 4 / 0 7 / M i c r o s o f t . A n a l y s i s S e r v i c e s . C o m m o n " > < a : H a s F o c u s > t r u e < / a : H a s F o c u s > < a : S i z e A t D p i 9 6 > 1 1 7 < / a : S i z e A t D p i 9 6 > < a : V i s i b l e > t r u e < / a : V i s i b l e > < / V a l u e > < / K e y V a l u e O f s t r i n g S a n d b o x E d i t o r . M e a s u r e G r i d S t a t e S c d E 3 5 R y > < K e y V a l u e O f s t r i n g S a n d b o x E d i t o r . M e a s u r e G r i d S t a t e S c d E 3 5 R y > < K e y > P U B L I C _ S E C T O R _ L O A N _ 4 f 9 0 7 e 3 9 - 7 a c 1 - 4 7 d 5 - 8 c 0 0 - e 5 0 4 c 0 e 3 c f e 6 < / K e y > < V a l u e   x m l n s : a = " h t t p : / / s c h e m a s . d a t a c o n t r a c t . o r g / 2 0 0 4 / 0 7 / M i c r o s o f t . A n a l y s i s S e r v i c e s . C o m m o n " > < a : H a s F o c u s > f a l s e < / a : H a s F o c u s > < a : S i z e A t D p i 9 6 > 1 1 7 < / a : S i z e A t D p i 9 6 > < a : V i s i b l e > t r u e < / a : V i s i b l e > < / V a l u e > < / K e y V a l u e O f s t r i n g S a n d b o x E d i t o r . M e a s u r e G r i d S t a t e S c d E 3 5 R y > < K e y V a l u e O f s t r i n g S a n d b o x E d i t o r . M e a s u r e G r i d S t a t e S c d E 3 5 R y > < K e y > R E S I D E N T I A L _ L O A N _ a 4 f b e 5 7 b - 2 7 9 b - 4 2 e 2 - 9 6 4 1 - b 7 4 e 1 b c 6 3 f a 1 < / K e y > < V a l u e   x m l n s : a = " h t t p : / / s c h e m a s . d a t a c o n t r a c t . o r g / 2 0 0 4 / 0 7 / M i c r o s o f t . A n a l y s i s S e r v i c e s . C o m m o n " > < a : H a s F o c u s > f a l s e < / a : H a s F o c u s > < a : S i z e A t D p i 9 6 > 1 1 7 < / a : S i z e A t D p i 9 6 > < a : V i s i b l e > t r u e < / a : V i s i b l e > < / V a l u e > < / K e y V a l u e O f s t r i n g S a n d b o x E d i t o r . M e a s u r e G r i d S t a t e S c d E 3 5 R y > < K e y V a l u e O f s t r i n g S a n d b o x E d i t o r . M e a s u r e G r i d S t a t e S c d E 3 5 R y > < K e y > C O V E R E D _ B O N D _ 5 5 f 7 f e d 9 - b 5 5 e - 4 9 1 f - 8 0 9 4 - 7 a 1 e 8 c e a c 1 b d < / K e y > < V a l u e   x m l n s : a = " h t t p : / / s c h e m a s . d a t a c o n t r a c t . o r g / 2 0 0 4 / 0 7 / M i c r o s o f t . A n a l y s i s S e r v i c e s . C o m m o n " > < a : H a s F o c u s > f a l s e < / a : H a s F o c u s > < a : S i z e A t D p i 9 6 > 1 1 5 < / a : S i z e A t D p i 9 6 > < a : V i s i b l e > t r u e < / a : V i s i b l e > < / V a l u e > < / K e y V a l u e O f s t r i n g S a n d b o x E d i t o r . M e a s u r e G r i d S t a t e S c d E 3 5 R y > < K e y V a l u e O f s t r i n g S a n d b o x E d i t o r . M e a s u r e G r i d S t a t e S c d E 3 5 R y > < K e y > D a t a U p d a t e i n f o _ e 3 0 a 0 a 4 b - b f 1 3 - 4 d 0 6 - 8 3 3 d - f 2 5 8 b b e a 4 5 9 f < / 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5.xml><?xml version="1.0" encoding="utf-8"?>
<ct:contentTypeSchema xmlns:ct="http://schemas.microsoft.com/office/2006/metadata/contentType" xmlns:ma="http://schemas.microsoft.com/office/2006/metadata/properties/metaAttributes" ct:_="" ma:_="" ma:contentTypeName="Dokument" ma:contentTypeID="0x01010065D991CD2ADE68439A7A8C1907CD2860" ma:contentTypeVersion="5" ma:contentTypeDescription="Ein neues Dokument erstellen." ma:contentTypeScope="" ma:versionID="4a83af40f29f6651f481b9bd8d110586">
  <xsd:schema xmlns:xsd="http://www.w3.org/2001/XMLSchema" xmlns:xs="http://www.w3.org/2001/XMLSchema" xmlns:p="http://schemas.microsoft.com/office/2006/metadata/properties" xmlns:ns2="8b9960ba-af66-4646-a5ac-6578ee52b2b1" xmlns:ns3="1dc82490-c741-4406-bddd-9ead5a1c3378" targetNamespace="http://schemas.microsoft.com/office/2006/metadata/properties" ma:root="true" ma:fieldsID="771fe895646b7a1389b5dd5f8f5fe4e4" ns2:_="" ns3:_="">
    <xsd:import namespace="8b9960ba-af66-4646-a5ac-6578ee52b2b1"/>
    <xsd:import namespace="1dc82490-c741-4406-bddd-9ead5a1c337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9960ba-af66-4646-a5ac-6578ee52b2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c82490-c741-4406-bddd-9ead5a1c3378"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6.xml>��< ? x m l   v e r s i o n = " 1 . 0 "   e n c o d i n g = " u t f - 1 6 " ? > < D a t a M a s h u p   s q m i d = " 6 7 6 2 b 7 4 3 - 3 5 6 6 - 4 a 1 d - 9 3 e 9 - 6 6 d f 1 6 d b 3 f 8 1 "   x m l n s = " h t t p : / / s c h e m a s . m i c r o s o f t . c o m / D a t a M a s h u p " > A A A A A B Q D A A B Q S w M E F A A C A A g A l V G S W E 9 E v n S k A A A A 9 g A A A B I A H A B D b 2 5 m a W c v U G F j a 2 F n Z S 5 4 b W w g o h g A K K A U A A A A A A A A A A A A A A A A A A A A A A A A A A A A h Y 9 B C s I w F E S v U v 6 + S R o 3 U n 4 j 4 t a C o I j b k M Y 2 2 K b S p K Z 3 c + G R v I I V r b p z O T N v Y O Z + v e F i a O r o o j t n W p t B Q h h E 2 q q 2 M L b M o P f H e A 4 L g R u p T r L U 0 Q h b l w 7 O Z F B 5 f 0 4 p D S G Q M C N t V 1 L O W E I P + X q r K t 3 I 2 F j n p V U a P q 3 i f w s E 7 l 9 j B C c J Z 4 R z T h j S y c T c 2 C / A x 7 3 P 9 M f E V V / 7 v t O i 0 P F y h 3 S S S N 8 f x A N Q S w M E F A A C A A g A l V G S 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R k l g o i k e 4 D g A A A B E A A A A T A B w A R m 9 y b X V s Y X M v U 2 V j d G l v b j E u b S C i G A A o o B Q A A A A A A A A A A A A A A A A A A A A A A A A A A A A r T k 0 u y c z P U w i G 0 I b W A F B L A Q I t A B Q A A g A I A J V R k l h P R L 5 0 p A A A A P Y A A A A S A A A A A A A A A A A A A A A A A A A A A A B D b 2 5 m a W c v U G F j a 2 F n Z S 5 4 b W x Q S w E C L Q A U A A I A C A C V U Z J Y D 8 r p q 6 Q A A A D p A A A A E w A A A A A A A A A A A A A A A A D w A A A A W 0 N v b n R l b n R f V H l w Z X N d L n h t b F B L A Q I t A B Q A A g A I A J V R k l g o i k e 4 D g A A A B E A A A A T A A A A A A A A A A A A A A A A A O E B A A B G b 3 J t d W x h c y 9 T Z W N 0 a W 9 u M S 5 t U E s F B g A A A A A D A A M A w g A A A D w C A A A A A B E 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m Z h b H N 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c I W x q s g q Q U u b w R x K t f R T K A A A A A A C A A A A A A A D Z g A A w A A A A B A A A A A y Y V 2 m 3 x a a 3 m J S p B / I 3 P u u A A A A A A S A A A C g A A A A E A A A A D 0 U k 6 d m 8 a V I i u Z o W I F F m v 1 Q A A A A z G 9 G B 9 g R X 2 f B a q r O M e H h M T Y x b U t S M m Z t R A A F 7 e + 4 1 p W p W Y Y S W P P 6 W 9 U N L Z / N J u r j d 4 Y a p T J K y q B J k T / F X b v x 7 d w T x 9 S n K F S / p B m C L p f 8 f z o U A A A A a u 3 C i U k 7 q f l Z q + a h S J m B 2 N 6 c g V k = < / D a t a M a s h u p > 
</file>

<file path=customXml/item17.xml><?xml version="1.0" encoding="utf-8"?>
<p:properties xmlns:p="http://schemas.microsoft.com/office/2006/metadata/properties" xmlns:xsi="http://www.w3.org/2001/XMLSchema-instance" xmlns:pc="http://schemas.microsoft.com/office/infopath/2007/PartnerControls">
  <documentManagement/>
</p:properties>
</file>

<file path=customXml/item1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 2 0 2 4 - 0 1 - 2 2 T 1 1 : 4 2 : 1 0 . 3 5 5 6 8 9 8 + 0 1 : 0 0 < / L a s t P r o c e s s e d T i m e > < / D a t a M o d e l i n g S a n d b o x . S e r i a l i z e d S a n d b o x E r r o r C a c h e > ] ] > < / C u s t o m C o n t e n t > < / G e m i n i > 
</file>

<file path=customXml/item19.xml>��< ? x m l   v e r s i o n = " 1 . 0 "   e n c o d i n g = " U T F - 1 6 " ? > < G e m i n i   x m l n s = " h t t p : / / g e m i n i / p i v o t c u s t o m i z a t i o n / S a n d b o x N o n E m p t y " > < C u s t o m C o n t e n t > < ! [ C D A T A [ 1 ] ] > < / C u s t o m C o n t e n t > < / G e m i n i > 
</file>

<file path=customXml/item2.xml>��< ? x m l   v e r s i o n = " 1 . 0 "   e n c o d i n g = " U T F - 1 6 " ? > < G e m i n i   x m l n s = " h t t p : / / g e m i n i / p i v o t c u s t o m i z a t i o n / T a b l e X M L _ C O V E R E D _ B O N D _ 5 5 f 7 f e d 9 - b 5 5 e - 4 9 1 f - 8 0 9 4 - 7 a 1 e 8 c e a c 1 b 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 1 4 2 < / i n t > < / v a l u e > < / i t e m > < i t e m > < k e y > < s t r i n g > B E W E R T U N G _ C L E A N _ E U R < / s t r i n g > < / k e y > < v a l u e > < i n t > 1 9 2 < / i n t > < / v a l u e > < / i t e m > < i t e m > < k e y > < s t r i n g > D S _ Z U O R D N U N G < / s t r i n g > < / k e y > < v a l u e > < i n t > 1 4 0 < / i n t > < / v a l u e > < / i t e m > < i t e m > < k e y > < s t r i n g > I S I N < / s t r i n g > < / k e y > < v a l u e > < i n t > 6 1 < / i n t > < / v a l u e > < / i t e m > < i t e m > < k e y > < s t r i n g > C U R R E N C Y < / s t r i n g > < / k e y > < v a l u e > < i n t > 1 0 1 < / i n t > < / v a l u e > < / i t e m > < i t e m > < k e y > < s t r i n g > C U R R E N T _ B A L A N C E _ I N _ I S S U E D _ C U R R E N C Y < / s t r i n g > < / k e y > < v a l u e > < i n t > 3 0 0 < / i n t > < / v a l u e > < / i t e m > < i t e m > < k e y > < s t r i n g > C U R R E N T _ B A L A N C E _ I N _ D E F A U L T _ C U R R E N C Y < / s t r i n g > < / k e y > < v a l u e > < i n t > 3 0 9 < / i n t > < / v a l u e > < / i t e m > < i t e m > < k e y > < s t r i n g > E X P E C T E D _ M A T U R I T Y _ D A T E < / s t r i n g > < / k e y > < v a l u e > < i n t > 3 1 1 < / i n t > < / v a l u e > < / i t e m > < i t e m > < k e y > < s t r i n g > E X T E N D E D _ M A T U R I T Y _ D A T E < / s t r i n g > < / k e y > < v a l u e > < i n t > 2 0 7 < / i n t > < / v a l u e > < / i t e m > < i t e m > < k e y > < s t r i n g > N E X T _ I N T E R E S T _ P A Y M E N T _ D A T E < / s t r i n g > < / k e y > < v a l u e > < i n t > 2 3 5 < / i n t > < / v a l u e > < / i t e m > < i t e m > < k e y > < s t r i n g > N E X T _ P R I N C I P A L _ P A Y M E N T _ D A T E < / s t r i n g > < / k e y > < v a l u e > < i n t > 2 4 2 < / i n t > < / v a l u e > < / i t e m > < i t e m > < k e y > < s t r i n g > I N T E R E S T _ P A Y M E N T _ F R E Q U E N C Y < / s t r i n g > < / k e y > < v a l u e > < i n t > 2 3 8 < / i n t > < / v a l u e > < / i t e m > < i t e m > < k e y > < s t r i n g > P R I N C I P A L _ P A Y M E N T _ F R E Q U E N C Y < / s t r i n g > < / k e y > < v a l u e > < i n t > 2 4 5 < / i n t > < / v a l u e > < / i t e m > < i t e m > < k e y > < s t r i n g > P R I N C I P A L _ R E D E M P T I O N _ T Y P E < / s t r i n g > < / k e y > < v a l u e > < i n t > 2 2 5 < / i n t > < / v a l u e > < / i t e m > < i t e m > < k e y > < s t r i n g > I N T E R E S T _ R A T E _ T Y P E < / s t r i n g > < / k e y > < v a l u e > < i n t > 1 6 6 < / i n t > < / v a l u e > < / i t e m > < i t e m > < k e y > < s t r i n g > I N T E R E S T _ R A T E < / s t r i n g > < / k e y > < v a l u e > < i n t > 1 3 0 < / i n t > < / v a l u e > < / i t e m > < i t e m > < k e y > < s t r i n g > I N T E R E S T _ M A R G I N < / s t r i n g > < / k e y > < v a l u e > < i n t > 1 5 2 < / i n t > < / v a l u e > < / i t e m > < i t e m > < k e y > < s t r i n g > B A S I S _ R A T E < / s t r i n g > < / k e y > < v a l u e > < i n t > 1 0 8 < / i n t > < / v a l u e > < / i t e m > < i t e m > < k e y > < s t r i n g > D A T E _ O F _ I S S U A N C E < / s t r i n g > < / k e y > < v a l u e > < i n t > 3 4 2 < / i n t > < / v a l u e > < / i t e m > < i t e m > < k e y > < s t r i n g > S E R I E S _ N U M B E R < / s t r i n g > < / k e y > < v a l u e > < i n t > 1 3 7 < / i n t > < / v a l u e > < / i t e m > < i t e m > < k e y > < s t r i n g > E S G _ B O N D < / s t r i n g > < / k e y > < v a l u e > < i n t > 1 0 3 < / i n t > < / v a l u e > < / i t e m > < i t e m > < k e y > < s t r i n g > S T R U C T U R E D _ F E A T U R E S < / s t r i n g > < / k e y > < v a l u e > < i n t > 1 8 2 < / i n t > < / v a l u e > < / i t e m > < i t e m > < k e y > < s t r i n g > P R I V A T E _ I S S U A N C E < / s t r i n g > < / k e y > < v a l u e > < i n t > 1 5 4 < / i n t > < / v a l u e > < / i t e m > < / C o l u m n W i d t h s > < C o l u m n D i s p l a y I n d e x > < i t e m > < k e y > < s t r i n g > D A T U M < / s t r i n g > < / k e y > < v a l u e > < i n t > 0 < / i n t > < / v a l u e > < / i t e m > < i t e m > < k e y > < s t r i n g > B E W E R T U N G _ C L E A N _ E U R < / s t r i n g > < / k e y > < v a l u e > < i n t > 2 2 < / i n t > < / v a l u e > < / i t e m > < i t e m > < k e y > < s t r i n g > D S _ Z U O R D N U N G < / s t r i n g > < / k e y > < v a l u e > < i n t > 1 < / i n t > < / v a l u e > < / i t e m > < i t e m > < k e y > < s t r i n g > I S I N < / s t r i n g > < / k e y > < v a l u e > < i n t > 2 < / i n t > < / v a l u e > < / i t e m > < i t e m > < k e y > < s t r i n g > C U R R E N C Y < / s t r i n g > < / k e y > < v a l u e > < i n t > 3 < / i n t > < / v a l u e > < / i t e m > < i t e m > < k e y > < s t r i n g > C U R R E N T _ B A L A N C E _ I N _ I S S U E D _ C U R R E N C Y < / s t r i n g > < / k e y > < v a l u e > < i n t > 4 < / i n t > < / v a l u e > < / i t e m > < i t e m > < k e y > < s t r i n g > C U R R E N T _ B A L A N C E _ I N _ D E F A U L T _ C U R R E N C Y < / s t r i n g > < / k e y > < v a l u e > < i n t > 5 < / i n t > < / v a l u e > < / i t e m > < i t e m > < k e y > < s t r i n g > E X P E C T E D _ M A T U R I T Y _ D A T E < / s t r i n g > < / k e y > < v a l u e > < i n t > 6 < / i n t > < / v a l u e > < / i t e m > < i t e m > < k e y > < s t r i n g > E X T E N D E D _ M A T U R I T Y _ D A T E < / s t r i n g > < / k e y > < v a l u e > < i n t > 7 < / i n t > < / v a l u e > < / i t e m > < i t e m > < k e y > < s t r i n g > N E X T _ I N T E R E S T _ P A Y M E N T _ D A T E < / s t r i n g > < / k e y > < v a l u e > < i n t > 8 < / i n t > < / v a l u e > < / i t e m > < i t e m > < k e y > < s t r i n g > N E X T _ P R I N C I P A L _ P A Y M E N T _ D A T E < / s t r i n g > < / k e y > < v a l u e > < i n t > 9 < / i n t > < / v a l u e > < / i t e m > < i t e m > < k e y > < s t r i n g > I N T E R E S T _ P A Y M E N T _ F R E Q U E N C Y < / s t r i n g > < / k e y > < v a l u e > < i n t > 1 0 < / i n t > < / v a l u e > < / i t e m > < i t e m > < k e y > < s t r i n g > P R I N C I P A L _ P A Y M E N T _ F R E Q U E N C Y < / s t r i n g > < / k e y > < v a l u e > < i n t > 1 1 < / i n t > < / v a l u e > < / i t e m > < i t e m > < k e y > < s t r i n g > P R I N C I P A L _ R E D E M P T I O N _ T Y P E < / s t r i n g > < / k e y > < v a l u e > < i n t > 1 2 < / i n t > < / v a l u e > < / i t e m > < i t e m > < k e y > < s t r i n g > I N T E R E S T _ R A T E _ T Y P E < / s t r i n g > < / k e y > < v a l u e > < i n t > 1 3 < / i n t > < / v a l u e > < / i t e m > < i t e m > < k e y > < s t r i n g > I N T E R E S T _ R A T E < / s t r i n g > < / k e y > < v a l u e > < i n t > 1 4 < / i n t > < / v a l u e > < / i t e m > < i t e m > < k e y > < s t r i n g > I N T E R E S T _ M A R G I N < / s t r i n g > < / k e y > < v a l u e > < i n t > 1 5 < / i n t > < / v a l u e > < / i t e m > < i t e m > < k e y > < s t r i n g > B A S I S _ R A T E < / s t r i n g > < / k e y > < v a l u e > < i n t > 1 6 < / i n t > < / v a l u e > < / i t e m > < i t e m > < k e y > < s t r i n g > D A T E _ O F _ I S S U A N C E < / s t r i n g > < / k e y > < v a l u e > < i n t > 1 7 < / i n t > < / v a l u e > < / i t e m > < i t e m > < k e y > < s t r i n g > S E R I E S _ N U M B E R < / s t r i n g > < / k e y > < v a l u e > < i n t > 1 8 < / i n t > < / v a l u e > < / i t e m > < i t e m > < k e y > < s t r i n g > E S G _ B O N D < / s t r i n g > < / k e y > < v a l u e > < i n t > 1 9 < / i n t > < / v a l u e > < / i t e m > < i t e m > < k e y > < s t r i n g > S T R U C T U R E D _ F E A T U R E S < / s t r i n g > < / k e y > < v a l u e > < i n t > 2 0 < / i n t > < / v a l u e > < / i t e m > < i t e m > < k e y > < s t r i n g > P R I V A T E _ I S S U A N C E < / s t r i n g > < / k e y > < v a l u e > < i n t > 2 1 < / i n t > < / v a l u e > < / i t e m > < / C o l u m n D i s p l a y I n d e x > < C o l u m n F r o z e n   / > < C o l u m n C h e c k e d   / > < C o l u m n F i l t e r > < i t e m > < k e y > < s t r i n g > E X T E N D E D _ M A T U R I T Y _ D A T E < / s t r i n g > < / k e y > < v a l u e > < F i l t e r E x p r e s s i o n   x s i : n i l = " t r u e "   / > < / v a l u e > < / i t e m > < / C o l u m n F i l t e r > < S e l e c t i o n F i l t e r > < i t e m > < k e y > < s t r i n g > E X T E N D E D _ M A T U R I T Y _ D A T E < / s t r i n g > < / k e y > < v a l u e > < S e l e c t i o n F i l t e r   x s i : n i l = " t r u e "   / > < / v a l u e > < / i t e m > < / S e l e c t i o n F i l t e r > < F i l t e r P a r a m e t e r s > < i t e m > < k e y > < s t r i n g > E X T E N D E D _ M A T U R I T Y _ D A T E < / s t r i n g > < / k e y > < v a l u e > < C o m m a n d P a r a m e t e r s   / > < / v a l u e > < / i t e m > < / F i l t e r P a r a m e t e r s > < I s S o r t D e s c e n d i n g > f a l s e < / I s S o r t D e s c e n d i n g > < / T a b l e W i d g e t G r i d S e r i a l i z a t i o n > ] ] > < / C u s t o m C o n t e n t > < / G e m i n i > 
</file>

<file path=customXml/item20.xml>��< ? x m l   v e r s i o n = " 1 . 0 "   e n c o d i n g = " U T F - 1 6 " ? > < G e m i n i   x m l n s = " h t t p : / / g e m i n i / p i v o t c u s t o m i z a t i o n / T a b l e X M L _ L O A N _ C A S H F L O W _ 1 2 7 1 5 8 4 0 - b a 4 f - 4 f b e - b a 8 f - 7 6 9 8 9 a f d 8 0 7 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 K Z _ Z E S S I O N _ W I D M U N G < / s t r i n g > < / k e y > < v a l u e > < i n t > 1 8 3 < / i n t > < / v a l u e > < / i t e m > < i t e m > < k e y > < s t r i n g > L O A N _ I N T E R E S T _ R A T E _ T Y P E < / s t r i n g > < / k e y > < v a l u e > < i n t > 2 0 8 < / i n t > < / v a l u e > < / i t e m > < i t e m > < k e y > < s t r i n g > Q U A R T E R < / s t r i n g > < / k e y > < v a l u e > < i n t > 9 4 < / i n t > < / v a l u e > < / i t e m > < i t e m > < k e y > < s t r i n g > P R I N C I P A L _ R E C E I V E D < / s t r i n g > < / k e y > < v a l u e > < i n t > 1 6 6 < / i n t > < / v a l u e > < / i t e m > < i t e m > < k e y > < s t r i n g > I N T E R E S T _ R E C E I V E D < / s t r i n g > < / k e y > < v a l u e > < i n t > 1 5 9 < / i n t > < / v a l u e > < / i t e m > < / C o l u m n W i d t h s > < C o l u m n D i s p l a y I n d e x > < i t e m > < k e y > < s t r i n g > D A T U M < / s t r i n g > < / k e y > < v a l u e > < i n t > 0 < / i n t > < / v a l u e > < / i t e m > < i t e m > < k e y > < s t r i n g > I N S T I T U T S Z U O R D N U N G < / s t r i n g > < / k e y > < v a l u e > < i n t > 1 < / i n t > < / v a l u e > < / i t e m > < i t e m > < k e y > < s t r i n g > K Z _ Z E S S I O N _ W I D M U N G < / s t r i n g > < / k e y > < v a l u e > < i n t > 2 < / i n t > < / v a l u e > < / i t e m > < i t e m > < k e y > < s t r i n g > L O A N _ I N T E R E S T _ R A T E _ T Y P E < / s t r i n g > < / k e y > < v a l u e > < i n t > 3 < / i n t > < / v a l u e > < / i t e m > < i t e m > < k e y > < s t r i n g > Q U A R T E R < / s t r i n g > < / k e y > < v a l u e > < i n t > 4 < / i n t > < / v a l u e > < / i t e m > < i t e m > < k e y > < s t r i n g > P R I N C I P A L _ R E C E I V E D < / s t r i n g > < / k e y > < v a l u e > < i n t > 5 < / i n t > < / v a l u e > < / i t e m > < i t e m > < k e y > < s t r i n g > I N T E R E S T _ R E C E I V E D < / s t r i n g > < / k e y > < v a l u e > < i n t > 6 < / i n t > < / v a l u e > < / i t e m > < / C o l u m n D i s p l a y I n d e x > < C o l u m n F r o z e n   / > < C o l u m n C h e c k e d   / > < C o l u m n F i l t e r   / > < S e l e c t i o n F i l t e r   / > < F i l t e r P a r a m e t e r s   / > < I s S o r t D e s c e n d i n g > f a l s e < / I s S o r t D e s c e n d i n g > < / T a b l e W i d g e t G r i d S e r i a l i z a t i o n > ] ] > < / C u s t o m C o n t e n t > < / G e m i n i > 
</file>

<file path=customXml/item21.xml>��< ? x m l   v e r s i o n = " 1 . 0 "   e n c o d i n g = " U T F - 1 6 " ? > < G e m i n i   x m l n s = " h t t p : / / g e m i n i / p i v o t c u s t o m i z a t i o n / T a b l e O r d e r " > < C u s t o m C o n t e n t > < ! [ C D A T A [ C O M M E R C I A L _ L O A N _ 4 c f 6 2 b a e - f 9 e 1 - 4 3 0 6 - 8 0 7 a - f f c b 3 f 5 8 a 4 e 9 , C O V E R E D _ B O N D _ 5 5 f 7 f e d 9 - b 5 5 e - 4 9 1 f - 8 0 9 4 - 7 a 1 e 8 c e a c 1 b d , R E S I D E N T I A L _ L O A N _ a 4 f b e 5 7 b - 2 7 9 b - 4 2 e 2 - 9 6 4 1 - b 7 4 e 1 b c 6 3 f a 1 , P U B L I C _ S E C T O R _ L O A N _ 4 f 9 0 7 e 3 9 - 7 a c 1 - 4 7 d 5 - 8 c 0 0 - e 5 0 4 c 0 e 3 c f e 6 , D a t a U p d a t e i n f o _ e 3 0 a 0 a 4 b - b f 1 3 - 4 d 0 6 - 8 3 3 d - f 2 5 8 b b e a 4 5 9 f ] ] > < / C u s t o m C o n t e n t > < / G e m i n i > 
</file>

<file path=customXml/item22.xml>��< ? x m l   v e r s i o n = " 1 . 0 "   e n c o d i n g = " U T F - 1 6 " ? > < G e m i n i   x m l n s = " h t t p : / / g e m i n i / p i v o t c u s t o m i z a t i o n / S h o w I m p l i c i t M e a s u r e s " > < C u s t o m C o n t e n t > < ! [ C D A T A [ F a l s e ] ] > < / C u s t o m C o n t e n t > < / G e m i n i > 
</file>

<file path=customXml/item23.xml>��< ? x m l   v e r s i o n = " 1 . 0 "   e n c o d i n g = " U T F - 1 6 " ? > < G e m i n i   x m l n s = " h t t p : / / g e m i n i / p i v o t c u s t o m i z a t i o n / T a b l e X M L _ R E S I D E N T I A L _ L O A N _ a 4 f b e 5 7 b - 2 7 9 b - 4 2 e 2 - 9 6 4 1 - b 7 4 e 1 b c 6 3 f a 1 " > < 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 K O N T O N U M M E R < / s t r i n g > < / k e y > < v a l u e > < i n t > 1 3 8 < / i n t > < / v a l u e > < / i t e m > < i t e m > < k e y > < s t r i n g > S L I C E < / s t r i n g > < / k e y > < v a l u e > < i n t > 1 0 6 < / i n t > < / v a l u e > < / i t e m > < i t e m > < k e y > < s t r i n g > L T V < / s t r i n g > < / k e y > < v a l u e > < i n t > 1 5 8 < / i n t > < / v a l u e > < / i t e m > < i t e m > < k e y > < s t r i n g > L T V _ B U C K E T < / s t r i n g > < / k e y > < v a l u e > < i n t > 1 1 1 < / i n t > < / v a l u e > < / i t e m > < i t e m > < k e y > < s t r i n g > K U N D E N N U M M E R < / s t r i n g > < / k e y > < v a l u e > < i n t > 1 4 7 < / i n t > < / v a l u e > < / i t e m > < i t e m > < k e y > < s t r i n g > S E A S O N I N G < / s t r i n g > < / k e y > < v a l u e > < i n t > 1 7 1 < / i n t > < / v a l u e > < / i t e m > < i t e m > < k e y > < s t r i n g > S E A S O N I N G _ B U C K E T < / s t r i n g > < / k e y > < v a l u e > < i n t > 1 6 3 < / i n t > < / v a l u e > < / i t e m > < i t e m > < k e y > < s t r i n g > R E M A I N I N G _ T E R M < / s t r i n g > < / k e y > < v a l u e > < i n t > 2 5 2 < / i n t > < / v a l u e > < / i t e m > < i t e m > < k e y > < s t r i n g > P U R P O S E _ T Y P E < / s t r i n g > < / k e y > < v a l u e > < i n t > 1 2 9 < / i n t > < / v a l u e > < / i t e m > < i t e m > < k e y > < s t r i n g > I N T E R E S T _ P A Y M E N T _ F R E Q U E N C Y < / s t r i n g > < / k e y > < v a l u e > < i n t > 2 3 8 < / i n t > < / v a l u e > < / i t e m > < i t e m > < k e y > < s t r i n g > P R I N C I P A L _ P A Y M E N T _ F R E Q U E N C Y < / s t r i n g > < / k e y > < v a l u e > < i n t > 2 4 5 < / i n t > < / v a l u e > < / i t e m > < i t e m > < k e y > < s t r i n g > I N T E R E S T _ R A T E _ T Y P E < / s t r i n g > < / k e y > < v a l u e > < i n t > 1 6 6 < / i n t > < / v a l u e > < / i t e m > < i t e m > < k e y > < s t r i n g > F I X E D _ I N T E R E S T _ R A T E < / s t r i n g > < / k e y > < v a l u e > < i n t > 1 7 2 < / i n t > < / v a l u e > < / i t e m > < i t e m > < k e y > < s t r i n g > I N T E R E S T _ M A R G I N < / s t r i n g > < / k e y > < v a l u e > < i n t > 1 5 2 < / i n t > < / v a l u e > < / i t e m > < i t e m > < k e y > < s t r i n g > E M P L O Y M E N T _ T Y P E < / s t r i n g > < / k e y > < v a l u e > < i n t > 1 5 8 < / i n t > < / v a l u e > < / i t e m > < i t e m > < k e y > < s t r i n g > V E R Z U G S T A G E < / s t r i n g > < / k e y > < v a l u e > < i n t > 1 2 3 < / i n t > < / v a l u e > < / i t e m > < i t e m > < k e y > < s t r i n g > R E G I O N S < / s t r i n g > < / k e y > < v a l u e > < i n t > 9 1 < / i n t > < / v a l u e > < / i t e m > < i t e m > < k e y > < s t r i n g > N H G _ G U A R A N T E E D < / s t r i n g > < / k e y > < v a l u e > < i n t > 1 5 5 < / i n t > < / v a l u e > < / i t e m > < i t e m > < k e y > < s t r i n g > S E G M E N T < / s t r i n g > < / k e y > < v a l u e > < i n t > 9 5 < / i n t > < / v a l u e > < / i t e m > < i t e m > < k e y > < s t r i n g > P R O P E R T Y _ T Y P E < / s t r i n g > < / k e y > < v a l u e > < i n t > 1 3 5 < / i n t > < / v a l u e > < / i t e m > < i t e m > < k e y > < s t r i n g > O C C U P A N C Y _ T Y P E < / s t r i n g > < / k e y > < v a l u e > < i n t > 1 4 8 < / i n t > < / v a l u e > < / i t e m > < i t e m > < k e y > < s t r i n g > R E M A I N I N G _ F I X E D _ I N T E R E S T _ P E R I O D < / s t r i n g > < / k e y > < v a l u e > < i n t > 2 6 8 < / i n t > < / v a l u e > < / i t e m > < i t e m > < k e y > < s t r i n g > B E W E R T U N G _ C L E A N _ E U R < / s t r i n g > < / k e y > < v a l u e > < i n t > 1 9 2 < / i n t > < / v a l u e > < / i t e m > < i t e m > < k e y > < s t r i n g > N B R _ O F _ P R O P E R T I E S < / s t r i n g > < / k e y > < v a l u e > < i n t > 1 6 7 < / i n t > < / v a l u e > < / i t e m > < i t e m > < k e y > < s t r i n g > P R I O R _ R A N K S _ S E C U R E D _ B Y _ P R O P E R T Y < / s t r i n g > < / k e y > < v a l u e > < i n t > 2 7 7 < / i n t > < / v a l u e > < / i t e m > < i t e m > < k e y > < s t r i n g > S A L D O < / s t r i n g > < / k e y > < v a l u e > < i n t > 7 7 < / i n t > < / v a l u e > < / i t e m > < / C o l u m n W i d t h s > < C o l u m n D i s p l a y I n d e x > < i t e m > < k e y > < s t r i n g > D A T U M < / s t r i n g > < / k e y > < v a l u e > < i n t > 0 < / i n t > < / v a l u e > < / i t e m > < i t e m > < k e y > < s t r i n g > I N S T I T U T S Z U O R D N U N G < / s t r i n g > < / k e y > < v a l u e > < i n t > 1 < / i n t > < / v a l u e > < / i t e m > < i t e m > < k e y > < s t r i n g > K O N T O N U M M E R < / s t r i n g > < / k e y > < v a l u e > < i n t > 2 < / i n t > < / v a l u e > < / i t e m > < i t e m > < k e y > < s t r i n g > S L I C E < / s t r i n g > < / k e y > < v a l u e > < i n t > 3 < / i n t > < / v a l u e > < / i t e m > < i t e m > < k e y > < s t r i n g > L T V < / s t r i n g > < / k e y > < v a l u e > < i n t > 4 < / i n t > < / v a l u e > < / i t e m > < i t e m > < k e y > < s t r i n g > L T V _ B U C K E T < / s t r i n g > < / k e y > < v a l u e > < i n t > 5 < / i n t > < / v a l u e > < / i t e m > < i t e m > < k e y > < s t r i n g > K U N D E N N U M M E R < / s t r i n g > < / k e y > < v a l u e > < i n t > 6 < / i n t > < / v a l u e > < / i t e m > < i t e m > < k e y > < s t r i n g > S E A S O N I N G < / s t r i n g > < / k e y > < v a l u e > < i n t > 7 < / i n t > < / v a l u e > < / i t e m > < i t e m > < k e y > < s t r i n g > S E A S O N I N G _ B U C K E T < / s t r i n g > < / k e y > < v a l u e > < i n t > 8 < / i n t > < / v a l u e > < / i t e m > < i t e m > < k e y > < s t r i n g > R E M A I N I N G _ T E R M < / s t r i n g > < / k e y > < v a l u e > < i n t > 9 < / i n t > < / v a l u e > < / i t e m > < i t e m > < k e y > < s t r i n g > P U R P O S E _ T Y P E < / s t r i n g > < / k e y > < v a l u e > < i n t > 1 0 < / i n t > < / v a l u e > < / i t e m > < i t e m > < k e y > < s t r i n g > I N T E R E S T _ P A Y M E N T _ F R E Q U E N C Y < / s t r i n g > < / k e y > < v a l u e > < i n t > 1 1 < / i n t > < / v a l u e > < / i t e m > < i t e m > < k e y > < s t r i n g > P R I N C I P A L _ P A Y M E N T _ F R E Q U E N C Y < / s t r i n g > < / k e y > < v a l u e > < i n t > 1 2 < / i n t > < / v a l u e > < / i t e m > < i t e m > < k e y > < s t r i n g > I N T E R E S T _ R A T E _ T Y P E < / s t r i n g > < / k e y > < v a l u e > < i n t > 1 3 < / i n t > < / v a l u e > < / i t e m > < i t e m > < k e y > < s t r i n g > F I X E D _ I N T E R E S T _ R A T E < / s t r i n g > < / k e y > < v a l u e > < i n t > 1 4 < / i n t > < / v a l u e > < / i t e m > < i t e m > < k e y > < s t r i n g > I N T E R E S T _ M A R G I N < / s t r i n g > < / k e y > < v a l u e > < i n t > 1 5 < / i n t > < / v a l u e > < / i t e m > < i t e m > < k e y > < s t r i n g > E M P L O Y M E N T _ T Y P E < / s t r i n g > < / k e y > < v a l u e > < i n t > 1 6 < / i n t > < / v a l u e > < / i t e m > < i t e m > < k e y > < s t r i n g > V E R Z U G S T A G E < / s t r i n g > < / k e y > < v a l u e > < i n t > 1 7 < / i n t > < / v a l u e > < / i t e m > < i t e m > < k e y > < s t r i n g > R E G I O N S < / s t r i n g > < / k e y > < v a l u e > < i n t > 1 8 < / i n t > < / v a l u e > < / i t e m > < i t e m > < k e y > < s t r i n g > N H G _ G U A R A N T E E D < / s t r i n g > < / k e y > < v a l u e > < i n t > 1 9 < / i n t > < / v a l u e > < / i t e m > < i t e m > < k e y > < s t r i n g > S E G M E N T < / s t r i n g > < / k e y > < v a l u e > < i n t > 2 0 < / i n t > < / v a l u e > < / i t e m > < i t e m > < k e y > < s t r i n g > P R O P E R T Y _ T Y P E < / s t r i n g > < / k e y > < v a l u e > < i n t > 2 1 < / i n t > < / v a l u e > < / i t e m > < i t e m > < k e y > < s t r i n g > O C C U P A N C Y _ T Y P E < / s t r i n g > < / k e y > < v a l u e > < i n t > 2 2 < / i n t > < / v a l u e > < / i t e m > < i t e m > < k e y > < s t r i n g > R E M A I N I N G _ F I X E D _ I N T E R E S T _ P E R I O D < / s t r i n g > < / k e y > < v a l u e > < i n t > 2 3 < / i n t > < / v a l u e > < / i t e m > < i t e m > < k e y > < s t r i n g > B E W E R T U N G _ C L E A N _ E U R < / s t r i n g > < / k e y > < v a l u e > < i n t > 2 4 < / i n t > < / v a l u e > < / i t e m > < i t e m > < k e y > < s t r i n g > N B R _ O F _ P R O P E R T I E S < / s t r i n g > < / k e y > < v a l u e > < i n t > 2 5 < / i n t > < / v a l u e > < / i t e m > < i t e m > < k e y > < s t r i n g > P R I O R _ R A N K S _ S E C U R E D _ B Y _ P R O P E R T Y < / s t r i n g > < / k e y > < v a l u e > < i n t > 2 6 < / i n t > < / v a l u e > < / i t e m > < i t e m > < k e y > < s t r i n g > S A L D O < / s t r i n g > < / k e y > < v a l u e > < i n t > 2 7 < / i n t > < / v a l u e > < / i t e m > < / C o l u m n D i s p l a y I n d e x > < C o l u m n F r o z e n   / > < C o l u m n C h e c k e d   / > < C o l u m n F i l t e r   / > < S e l e c t i o n F i l t e r   / > < F i l t e r P a r a m e t e r s   / > < I s S o r t D e s c e n d i n g > f a l s e < / I s S o r t D e s c e n d i n g > < / T a b l e W i d g e t G r i d S e r i a l i z a t i o n > ] ] > < / C u s t o m C o n t e n t > < / G e m i n i > 
</file>

<file path=customXml/item24.xml>��< ? x m l   v e r s i o n = " 1 . 0 "   e n c o d i n g = " U T F - 1 6 " ? > < G e m i n i   x m l n s = " h t t p : / / g e m i n i / p i v o t c u s t o m i z a t i o n / S h o w H i d d e n " > < C u s t o m C o n t e n t > < ! [ C D A T A [ T r u e ] ] > < / C u s t o m C o n t e n t > < / G e m i n i > 
</file>

<file path=customXml/item25.xml>��< ? x m l   v e r s i o n = " 1 . 0 "   e n c o d i n g = " U T F - 1 6 " ? > < G e m i n i   x m l n s = " h t t p : / / g e m i n i / p i v o t c u s t o m i z a t i o n / T a b l e X M L _ S T A G E _ F X _ R A T E _ 6 1 4 b 4 1 e 9 - c 3 7 6 - 4 9 0 4 - b e 2 3 - d 9 3 c 2 b 7 6 2 8 9 c " > < 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 W A E H R U N G < / s t r i n g > < / k e y > < v a l u e > < i n t > 1 0 9 < / i n t > < / v a l u e > < / i t e m > < i t e m > < k e y > < s t r i n g > M I T T E L K U R S < / s t r i n g > < / k e y > < v a l u e > < i n t > 1 1 1 < / i n t > < / v a l u e > < / i t e m > < / C o l u m n W i d t h s > < C o l u m n D i s p l a y I n d e x > < i t e m > < k e y > < s t r i n g > D A T U M < / s t r i n g > < / k e y > < v a l u e > < i n t > 0 < / i n t > < / v a l u e > < / i t e m > < i t e m > < k e y > < s t r i n g > W A E H R U N G < / s t r i n g > < / k e y > < v a l u e > < i n t > 1 < / i n t > < / v a l u e > < / i t e m > < i t e m > < k e y > < s t r i n g > M I T T E L K U R S < / s t r i n g > < / k e y > < v a l u e > < i n t > 2 < / i n t > < / v a l u e > < / i t e m > < / C o l u m n D i s p l a y I n d e x > < C o l u m n F r o z e n   / > < C o l u m n C h e c k e d   / > < C o l u m n F i l t e r   / > < S e l e c t i o n F i l t e r   / > < F i l t e r P a r a m e t e r s   / > < I s S o r t D e s c e n d i n g > f a l s e < / I s S o r t D e s c e n d i n g > < / T a b l e W i d g e t G r i d S e r i a l i z a t i o n > ] ] > < / C u s t o m C o n t e n t > < / G e m i n i > 
</file>

<file path=customXml/item2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 T a g s \ T a b l e s \ & l t ; T a b l e s \ C O V E R E D _ B O N D & g t ; < / K e y > < / D i a g r a m O b j e c t K e y > < D i a g r a m O b j e c t K e y > < K e y > D y n a m i c   T a g s \ T a b l e s \ & l t ; T a b l e s \ R E S I D E N T I A L _ L O A N & g t ; < / K e y > < / D i a g r a m O b j e c t K e y > < D i a g r a m O b j e c t K e y > < K e y > D y n a m i c   T a g s \ T a b l e s \ & l t ; T a b l e s \ C O M M E R C I A L _ L O A N & g t ; < / K e y > < / D i a g r a m O b j e c t K e y > < D i a g r a m O b j e c t K e y > < K e y > T a b l e s \ C O V E R E D _ B O N D < / K e y > < / D i a g r a m O b j e c t K e y > < D i a g r a m O b j e c t K e y > < K e y > T a b l e s \ C O V E R E D _ B O N D \ C o l u m n s \ D A T U M < / K e y > < / D i a g r a m O b j e c t K e y > < D i a g r a m O b j e c t K e y > < K e y > T a b l e s \ C O V E R E D _ B O N D \ C o l u m n s \ I N S T I T U T S Z U O R D N U N G < / K e y > < / D i a g r a m O b j e c t K e y > < D i a g r a m O b j e c t K e y > < K e y > T a b l e s \ C O V E R E D _ B O N D \ C o l u m n s \ D S _ Z U O R D N U N G < / K e y > < / D i a g r a m O b j e c t K e y > < D i a g r a m O b j e c t K e y > < K e y > T a b l e s \ C O V E R E D _ B O N D \ C o l u m n s \ I S I N < / K e y > < / D i a g r a m O b j e c t K e y > < D i a g r a m O b j e c t K e y > < K e y > T a b l e s \ C O V E R E D _ B O N D \ C o l u m n s \ C U R R E N C Y < / K e y > < / D i a g r a m O b j e c t K e y > < D i a g r a m O b j e c t K e y > < K e y > T a b l e s \ C O V E R E D _ B O N D \ C o l u m n s \ C U R R E N T _ B A L A N C E _ I N _ I S S U E D _ C U R R E N C Y < / K e y > < / D i a g r a m O b j e c t K e y > < D i a g r a m O b j e c t K e y > < K e y > T a b l e s \ C O V E R E D _ B O N D \ C o l u m n s \ C U R R E N T _ B A L A N C E _ I N _ D E F A U L T _ C U R R E N C Y < / K e y > < / D i a g r a m O b j e c t K e y > < D i a g r a m O b j e c t K e y > < K e y > T a b l e s \ C O V E R E D _ B O N D \ C o l u m n s \ E X P E C T E D _ M A T U R I T Y _ D A T E < / K e y > < / D i a g r a m O b j e c t K e y > < D i a g r a m O b j e c t K e y > < K e y > T a b l e s \ C O V E R E D _ B O N D \ C o l u m n s \ E X T E N D E D _ M A T U R I T Y _ D A T E < / K e y > < / D i a g r a m O b j e c t K e y > < D i a g r a m O b j e c t K e y > < K e y > T a b l e s \ C O V E R E D _ B O N D \ C o l u m n s \ N E X T _ I N T E R E S T _ P A Y M E N T _ D A T E < / K e y > < / D i a g r a m O b j e c t K e y > < D i a g r a m O b j e c t K e y > < K e y > T a b l e s \ C O V E R E D _ B O N D \ C o l u m n s \ N E X T _ P R I N C I P A L _ P A Y M E N T _ D A T E < / K e y > < / D i a g r a m O b j e c t K e y > < D i a g r a m O b j e c t K e y > < K e y > T a b l e s \ C O V E R E D _ B O N D \ C o l u m n s \ I N T E R E S T _ P A Y M E N T _ F R E Q U E N C Y < / K e y > < / D i a g r a m O b j e c t K e y > < D i a g r a m O b j e c t K e y > < K e y > T a b l e s \ C O V E R E D _ B O N D \ C o l u m n s \ P R I N C I P A L _ P A Y M E N T _ F R E Q U E N C Y < / K e y > < / D i a g r a m O b j e c t K e y > < D i a g r a m O b j e c t K e y > < K e y > T a b l e s \ C O V E R E D _ B O N D \ C o l u m n s \ P R I N C I P A L _ R E D E M P T I O N _ T Y P E < / K e y > < / D i a g r a m O b j e c t K e y > < D i a g r a m O b j e c t K e y > < K e y > T a b l e s \ C O V E R E D _ B O N D \ C o l u m n s \ I N T E R E S T _ R A T E _ T Y P E < / K e y > < / D i a g r a m O b j e c t K e y > < D i a g r a m O b j e c t K e y > < K e y > T a b l e s \ C O V E R E D _ B O N D \ C o l u m n s \ I N T E R E S T _ R A T E < / K e y > < / D i a g r a m O b j e c t K e y > < D i a g r a m O b j e c t K e y > < K e y > T a b l e s \ C O V E R E D _ B O N D \ C o l u m n s \ I N T E R E S T _ M A R G I N < / K e y > < / D i a g r a m O b j e c t K e y > < D i a g r a m O b j e c t K e y > < K e y > T a b l e s \ C O V E R E D _ B O N D \ C o l u m n s \ B A S I S _ R A T E < / K e y > < / D i a g r a m O b j e c t K e y > < D i a g r a m O b j e c t K e y > < K e y > T a b l e s \ C O V E R E D _ B O N D \ C o l u m n s \ D A T E _ O F _ I S S U A N C E < / K e y > < / D i a g r a m O b j e c t K e y > < D i a g r a m O b j e c t K e y > < K e y > T a b l e s \ C O V E R E D _ B O N D \ C o l u m n s \ S E R I E S _ N U M B E R < / K e y > < / D i a g r a m O b j e c t K e y > < D i a g r a m O b j e c t K e y > < K e y > T a b l e s \ C O V E R E D _ B O N D \ C o l u m n s \ E S G _ B O N D < / K e y > < / D i a g r a m O b j e c t K e y > < D i a g r a m O b j e c t K e y > < K e y > T a b l e s \ C O V E R E D _ B O N D \ C o l u m n s \ S T R U C T U R E D _ F E A T U R E S < / K e y > < / D i a g r a m O b j e c t K e y > < D i a g r a m O b j e c t K e y > < K e y > T a b l e s \ C O V E R E D _ B O N D \ C o l u m n s \ P R I V A T E _ I S S U A N C E < / K e y > < / D i a g r a m O b j e c t K e y > < D i a g r a m O b j e c t K e y > < K e y > T a b l e s \ R E S I D E N T I A L _ L O A N < / K e y > < / D i a g r a m O b j e c t K e y > < D i a g r a m O b j e c t K e y > < K e y > T a b l e s \ R E S I D E N T I A L _ L O A N \ C o l u m n s \ D A T U M < / K e y > < / D i a g r a m O b j e c t K e y > < D i a g r a m O b j e c t K e y > < K e y > T a b l e s \ R E S I D E N T I A L _ L O A N \ C o l u m n s \ I N S T I T U T S Z U O R D N U N G < / K e y > < / D i a g r a m O b j e c t K e y > < D i a g r a m O b j e c t K e y > < K e y > T a b l e s \ R E S I D E N T I A L _ L O A N \ C o l u m n s \ K O N T O N U M M E R < / K e y > < / D i a g r a m O b j e c t K e y > < D i a g r a m O b j e c t K e y > < K e y > T a b l e s \ R E S I D E N T I A L _ L O A N \ C o l u m n s \ S L I C E < / K e y > < / D i a g r a m O b j e c t K e y > < D i a g r a m O b j e c t K e y > < K e y > T a b l e s \ R E S I D E N T I A L _ L O A N \ C o l u m n s \ L T V < / K e y > < / D i a g r a m O b j e c t K e y > < D i a g r a m O b j e c t K e y > < K e y > T a b l e s \ R E S I D E N T I A L _ L O A N \ C o l u m n s \ L T V _ B U C K E T S < / K e y > < / D i a g r a m O b j e c t K e y > < D i a g r a m O b j e c t K e y > < K e y > T a b l e s \ R E S I D E N T I A L _ L O A N \ C o l u m n s \ K U N D E N N U M M E R < / K e y > < / D i a g r a m O b j e c t K e y > < D i a g r a m O b j e c t K e y > < K e y > T a b l e s \ R E S I D E N T I A L _ L O A N \ C o l u m n s \ S E A S O N I N G < / K e y > < / D i a g r a m O b j e c t K e y > < D i a g r a m O b j e c t K e y > < K e y > T a b l e s \ R E S I D E N T I A L _ L O A N \ C o l u m n s \ P U R P O S E _ T Y P E < / K e y > < / D i a g r a m O b j e c t K e y > < D i a g r a m O b j e c t K e y > < K e y > T a b l e s \ R E S I D E N T I A L _ L O A N \ C o l u m n s \ I N T E R E S T _ P A Y M E N T _ F R E Q U E N C Y < / K e y > < / D i a g r a m O b j e c t K e y > < D i a g r a m O b j e c t K e y > < K e y > T a b l e s \ R E S I D E N T I A L _ L O A N \ C o l u m n s \ P R I N C I P A L _ P A Y M E N T _ F R E Q U E N C Y < / K e y > < / D i a g r a m O b j e c t K e y > < D i a g r a m O b j e c t K e y > < K e y > T a b l e s \ R E S I D E N T I A L _ L O A N \ C o l u m n s \ I N T E R E S T _ R A T E _ T Y P E < / K e y > < / D i a g r a m O b j e c t K e y > < D i a g r a m O b j e c t K e y > < K e y > T a b l e s \ R E S I D E N T I A L _ L O A N \ C o l u m n s \ E M P L O Y M E N T _ T Y P E < / K e y > < / D i a g r a m O b j e c t K e y > < D i a g r a m O b j e c t K e y > < K e y > T a b l e s \ R E S I D E N T I A L _ L O A N \ C o l u m n s \ V E R Z U G S T A G E < / K e y > < / D i a g r a m O b j e c t K e y > < D i a g r a m O b j e c t K e y > < K e y > T a b l e s \ R E S I D E N T I A L _ L O A N \ C o l u m n s \ R E G I O N S < / K e y > < / D i a g r a m O b j e c t K e y > < D i a g r a m O b j e c t K e y > < K e y > T a b l e s \ R E S I D E N T I A L _ L O A N \ C o l u m n s \ K U N D _ A D R _ L A N D < / K e y > < / D i a g r a m O b j e c t K e y > < D i a g r a m O b j e c t K e y > < K e y > T a b l e s \ R E S I D E N T I A L _ L O A N \ C o l u m n s \ D A T U M _ F O R M A L I S I E R U N G < / K e y > < / D i a g r a m O b j e c t K e y > < D i a g r a m O b j e c t K e y > < K e y > T a b l e s \ R E S I D E N T I A L _ L O A N \ C o l u m n s \ S E G M E N T < / K e y > < / D i a g r a m O b j e c t K e y > < D i a g r a m O b j e c t K e y > < K e y > T a b l e s \ C O M M E R C I A L _ L O A N < / K e y > < / D i a g r a m O b j e c t K e y > < D i a g r a m O b j e c t K e y > < K e y > T a b l e s \ C O M M E R C I A L _ L O A N \ C o l u m n s \ D A T U M < / K e y > < / D i a g r a m O b j e c t K e y > < D i a g r a m O b j e c t K e y > < K e y > T a b l e s \ C O M M E R C I A L _ L O A N \ C o l u m n s \ I N S T I T U T S Z U O R D N U N G < / K e y > < / D i a g r a m O b j e c t K e y > < D i a g r a m O b j e c t K e y > < K e y > T a b l e s \ C O M M E R C I A L _ L O A N \ C o l u m n s \ L O A N _ I D < / K e y > < / D i a g r a m O b j e c t K e y > < D i a g r a m O b j e c t K e y > < K e y > T a b l e s \ C O M M E R C I A L _ L O A N \ C o l u m n s \ L O A N _ C U R R E N C Y < / K e y > < / D i a g r a m O b j e c t K e y > < D i a g r a m O b j e c t K e y > < K e y > T a b l e s \ C O M M E R C I A L _ L O A N \ C o l u m n s \ L O A N _ B A L A N C E _ 1 < / K e y > < / D i a g r a m O b j e c t K e y > < D i a g r a m O b j e c t K e y > < K e y > T a b l e s \ C O M M E R C I A L _ L O A N \ C o l u m n s \ L O A N _ B A L A N C E _ 2 < / K e y > < / D i a g r a m O b j e c t K e y > < D i a g r a m O b j e c t K e y > < K e y > T a b l e s \ C O M M E R C I A L _ L O A N \ C o l u m n s \ C O M M I T T E D _ F U R T H E R _ A D V A N C E < / K e y > < / D i a g r a m O b j e c t K e y > < D i a g r a m O b j e c t K e y > < K e y > T a b l e s \ C O M M E R C I A L _ L O A N \ C o l u m n s \ S C H E D U L E D _ L O A N _ B A L A N C E _ A T _ M A T U R I T Y _ 1 < / K e y > < / D i a g r a m O b j e c t K e y > < D i a g r a m O b j e c t K e y > < K e y > T a b l e s \ C O M M E R C I A L _ L O A N \ C o l u m n s \ S C H E D U L E D _ L O A N _ B A L A N C E _ A T _ M A T U R I T Y _ 2 < / K e y > < / D i a g r a m O b j e c t K e y > < D i a g r a m O b j e c t K e y > < K e y > T a b l e s \ C O M M E R C I A L _ L O A N \ C o l u m n s \ R E M A I N I N G _ T E R M _ I N _ M O N T H S < / K e y > < / D i a g r a m O b j e c t K e y > < D i a g r a m O b j e c t K e y > < K e y > T a b l e s \ C O M M E R C I A L _ L O A N \ C o l u m n s \ S C H E D U L E D _ M A T U R I T Y _ D A T E _ O N _ L O A N < / K e y > < / D i a g r a m O b j e c t K e y > < D i a g r a m O b j e c t K e y > < K e y > T a b l e s \ C O M M E R C I A L _ L O A N \ C o l u m n s \ L O A N _ O R I G I N A T I O N _ D A T E < / K e y > < / D i a g r a m O b j e c t K e y > < D i a g r a m O b j e c t K e y > < K e y > T a b l e s \ C O M M E R C I A L _ L O A N \ C o l u m n s \ W H O L E _ L T V < / K e y > < / D i a g r a m O b j e c t K e y > < D i a g r a m O b j e c t K e y > < K e y > T a b l e s \ C O M M E R C I A L _ L O A N \ C o l u m n s \ P R I O R _ R A N K S _ S E C U R E D _ B Y _ P R O P E R T Y < / K e y > < / D i a g r a m O b j e c t K e y > < D i a g r a m O b j e c t K e y > < K e y > T a b l e s \ C O M M E R C I A L _ L O A N \ C o l u m n s \ J U N I O R _ R A N K S < / K e y > < / D i a g r a m O b j e c t K e y > < D i a g r a m O b j e c t K e y > < K e y > T a b l e s \ C O M M E R C I A L _ L O A N \ C o l u m n s \ I N T E R E S T _ R A T E _ T Y P E < / K e y > < / D i a g r a m O b j e c t K e y > < D i a g r a m O b j e c t K e y > < K e y > T a b l e s \ C O M M E R C I A L _ L O A N \ C o l u m n s \ F I X E D _ I N T E R E S T _ R A T E < / K e y > < / D i a g r a m O b j e c t K e y > < D i a g r a m O b j e c t K e y > < K e y > T a b l e s \ C O M M E R C I A L _ L O A N \ C o l u m n s \ I N T E R E S T _ M A R G I N < / K e y > < / D i a g r a m O b j e c t K e y > < D i a g r a m O b j e c t K e y > < K e y > T a b l e s \ C O M M E R C I A L _ L O A N \ C o l u m n s \ B A S I S _ O R _ R E F E R E N C E _ R A T E < / K e y > < / D i a g r a m O b j e c t K e y > < D i a g r a m O b j e c t K e y > < K e y > T a b l e s \ C O M M E R C I A L _ L O A N \ C o l u m n s \ D S C R < / K e y > < / D i a g r a m O b j e c t K e y > < D i a g r a m O b j e c t K e y > < K e y > T a b l e s \ C O M M E R C I A L _ L O A N \ C o l u m n s \ P R I N C I P A L _ P A Y M E N T _ F R E Q U E N C Y < / K e y > < / D i a g r a m O b j e c t K e y > < D i a g r a m O b j e c t K e y > < K e y > T a b l e s \ C O M M E R C I A L _ L O A N \ C o l u m n s \ P R I N C I P A L _ R E P A Y M E N T _ M E T H O D < / K e y > < / D i a g r a m O b j e c t K e y > < D i a g r a m O b j e c t K e y > < K e y > T a b l e s \ C O M M E R C I A L _ L O A N \ C o l u m n s \ L O A N _ P E R F O R M I N G < / K e y > < / D i a g r a m O b j e c t K e y > < D i a g r a m O b j e c t K e y > < K e y > T a b l e s \ C O M M E R C I A L _ L O A N \ C o l u m n s \ D E B T O R _ I D < / K e y > < / D i a g r a m O b j e c t K e y > < D i a g r a m O b j e c t K e y > < K e y > T a b l e s \ C O M M E R C I A L _ L O A N \ C o l u m n s \ D E B T O R _ N A M E < / K e y > < / D i a g r a m O b j e c t K e y > < D i a g r a m O b j e c t K e y > < K e y > T a b l e s \ C O M M E R C I A L _ L O A N \ C o l u m n s \ D E B T O R _ T Y P E < / K e y > < / D i a g r a m O b j e c t K e y > < D i a g r a m O b j e c t K e y > < K e y > T a b l e s \ C O M M E R C I A L _ L O A N \ C o l u m n s \ R E C O U R S E _ T O _ B O R R O W E R < / K e y > < / D i a g r a m O b j e c t K e y > < D i a g r a m O b j e c t K e y > < K e y > T a b l e s \ C O M M E R C I A L _ L O A N \ C o l u m n s \ P R O P E R T Y _ I D < / K e y > < / D i a g r a m O b j e c t K e y > < D i a g r a m O b j e c t K e y > < K e y > T a b l e s \ C O M M E R C I A L _ L O A N \ C o l u m n s \ V A L U A T I O N _ O F _ P R O P E R T Y _ I N _ D E F A U L T _ C U R R E N C Y < / K e y > < / D i a g r a m O b j e c t K e y > < D i a g r a m O b j e c t K e y > < K e y > T a b l e s \ C O M M E R C I A L _ L O A N \ C o l u m n s \ V A L U A T I O N _ O F _ P R O P E R T Y _ I N _ C U R R E N C Y _ O F _ T H E _ L O A N < / K e y > < / D i a g r a m O b j e c t K e y > < D i a g r a m O b j e c t K e y > < K e y > T a b l e s \ C O M M E R C I A L _ L O A N \ C o l u m n s \ U P D A T E D _ V A L U A T I O N _ O F _ P R O P E R T Y < / K e y > < / D i a g r a m O b j e c t K e y > < D i a g r a m O b j e c t K e y > < K e y > T a b l e s \ C O M M E R C I A L _ L O A N \ C o l u m n s \ D A T E _ O F _ V A L U A T I O N _ U S E D _ F O R _ L T V < / K e y > < / D i a g r a m O b j e c t K e y > < D i a g r a m O b j e c t K e y > < K e y > T a b l e s \ C O M M E R C I A L _ L O A N \ C o l u m n s \ V A L U A T I O N _ T Y P E < / K e y > < / D i a g r a m O b j e c t K e y > < D i a g r a m O b j e c t K e y > < K e y > T a b l e s \ C O M M E R C I A L _ L O A N \ C o l u m n s \ C O U N T R Y _ P R O P E R T Y < / K e y > < / D i a g r a m O b j e c t K e y > < D i a g r a m O b j e c t K e y > < K e y > T a b l e s \ C O M M E R C I A L _ L O A N \ C o l u m n s \ R E G I O N < / K e y > < / D i a g r a m O b j e c t K e y > < D i a g r a m O b j e c t K e y > < K e y > T a b l e s \ C O M M E R C I A L _ L O A N \ C o l u m n s \ P R O P E R T Y _ T Y P E < / K e y > < / D i a g r a m O b j e c t K e y > < D i a g r a m O b j e c t K e y > < K e y > T a b l e s \ C O M M E R C I A L _ L O A N \ C o l u m n s \ N B R _ O F _ P R O P E R T I E S < / K e y > < / D i a g r a m O b j e c t K e y > < D i a g r a m O b j e c t K e y > < K e y > T a b l e s \ C O M M E R C I A L _ L O A N \ C o l u m n s \ E L I G I B L E < / K e y > < / D i a g r a m O b j e c t K e y > < D i a g r a m O b j e c t K e y > < K e y > T a b l e s \ C O M M E R C I A L _ L O A N \ C o l u m n s \ P O S T A L _ C O D E < / K e y > < / D i a g r a m O b j e c t K e y > < D i a g r a m O b j e c t K e y > < K e y > T a b l e s \ C O M M E R C I A L _ L O A N \ C o l u m n s \ C O N S T R U C T I O N _ S T A G E < / K e y > < / D i a g r a m O b j e c t K e y > < / A l l K e y s > < S e l e c t e d K e y s > < D i a g r a m O b j e c t K e y > < K e y > T a b l e s \ C O M M E R C I A L _ L O A N < / 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 T a g s \ T a b l e s \ & l t ; T a b l e s \ C O V E R E D _ B O N D & g t ; < / K e y > < / a : K e y > < a : V a l u e   i : t y p e = " D i a g r a m D i s p l a y T a g V i e w S t a t e " > < I s N o t F i l t e r e d O u t > t r u e < / I s N o t F i l t e r e d O u t > < / a : V a l u e > < / a : K e y V a l u e O f D i a g r a m O b j e c t K e y a n y T y p e z b w N T n L X > < a : K e y V a l u e O f D i a g r a m O b j e c t K e y a n y T y p e z b w N T n L X > < a : K e y > < K e y > D y n a m i c   T a g s \ T a b l e s \ & l t ; T a b l e s \ R E S I D E N T I A L _ L O A N & g t ; < / K e y > < / a : K e y > < a : V a l u e   i : t y p e = " D i a g r a m D i s p l a y T a g V i e w S t a t e " > < I s N o t F i l t e r e d O u t > t r u e < / I s N o t F i l t e r e d O u t > < / a : V a l u e > < / a : K e y V a l u e O f D i a g r a m O b j e c t K e y a n y T y p e z b w N T n L X > < a : K e y V a l u e O f D i a g r a m O b j e c t K e y a n y T y p e z b w N T n L X > < a : K e y > < K e y > D y n a m i c   T a g s \ T a b l e s \ & l t ; T a b l e s \ C O M M E R C I A L _ L O A N & g t ; < / K e y > < / a : K e y > < a : V a l u e   i : t y p e = " D i a g r a m D i s p l a y T a g V i e w S t a t e " > < I s N o t F i l t e r e d O u t > t r u e < / I s N o t F i l t e r e d O u t > < / a : V a l u e > < / a : K e y V a l u e O f D i a g r a m O b j e c t K e y a n y T y p e z b w N T n L X > < a : K e y V a l u e O f D i a g r a m O b j e c t K e y a n y T y p e z b w N T n L X > < a : K e y > < K e y > T a b l e s \ C O V E R E D _ B O N D < / K e y > < / a : K e y > < a : V a l u e   i : t y p e = " D i a g r a m D i s p l a y N o d e V i e w S t a t e " > < H e i g h t > 4 0 0 < / H e i g h t > < I s E x p a n d e d > t r u e < / I s E x p a n d e d > < L a y e d O u t > t r u e < / L a y e d O u t > < L e f t > 3 2 9 . 9 0 3 8 1 0 5 6 7 6 6 5 8 < / L e f t > < T a b I n d e x > 1 < / T a b I n d e x > < W i d t h > 2 0 0 < / W i d t h > < / a : V a l u e > < / a : K e y V a l u e O f D i a g r a m O b j e c t K e y a n y T y p e z b w N T n L X > < a : K e y V a l u e O f D i a g r a m O b j e c t K e y a n y T y p e z b w N T n L X > < a : K e y > < K e y > T a b l e s \ C O V E R E D _ B O N D \ C o l u m n s \ D A T U M < / K e y > < / a : K e y > < a : V a l u e   i : t y p e = " D i a g r a m D i s p l a y N o d e V i e w S t a t e " > < H e i g h t > 1 5 0 < / H e i g h t > < I s E x p a n d e d > t r u e < / I s E x p a n d e d > < W i d t h > 2 0 0 < / W i d t h > < / a : V a l u e > < / a : K e y V a l u e O f D i a g r a m O b j e c t K e y a n y T y p e z b w N T n L X > < a : K e y V a l u e O f D i a g r a m O b j e c t K e y a n y T y p e z b w N T n L X > < a : K e y > < K e y > T a b l e s \ C O V E R E D _ B O N D \ C o l u m n s \ I N S T I T U T S Z U O R D N U N G < / K e y > < / a : K e y > < a : V a l u e   i : t y p e = " D i a g r a m D i s p l a y N o d e V i e w S t a t e " > < H e i g h t > 1 5 0 < / H e i g h t > < I s E x p a n d e d > t r u e < / I s E x p a n d e d > < W i d t h > 2 0 0 < / W i d t h > < / a : V a l u e > < / a : K e y V a l u e O f D i a g r a m O b j e c t K e y a n y T y p e z b w N T n L X > < a : K e y V a l u e O f D i a g r a m O b j e c t K e y a n y T y p e z b w N T n L X > < a : K e y > < K e y > T a b l e s \ C O V E R E D _ B O N D \ C o l u m n s \ D S _ Z U O R D N U N G < / K e y > < / a : K e y > < a : V a l u e   i : t y p e = " D i a g r a m D i s p l a y N o d e V i e w S t a t e " > < H e i g h t > 1 5 0 < / H e i g h t > < I s E x p a n d e d > t r u e < / I s E x p a n d e d > < W i d t h > 2 0 0 < / W i d t h > < / a : V a l u e > < / a : K e y V a l u e O f D i a g r a m O b j e c t K e y a n y T y p e z b w N T n L X > < a : K e y V a l u e O f D i a g r a m O b j e c t K e y a n y T y p e z b w N T n L X > < a : K e y > < K e y > T a b l e s \ C O V E R E D _ B O N D \ C o l u m n s \ I S I N < / K e y > < / a : K e y > < a : V a l u e   i : t y p e = " D i a g r a m D i s p l a y N o d e V i e w S t a t e " > < H e i g h t > 1 5 0 < / H e i g h t > < I s E x p a n d e d > t r u e < / I s E x p a n d e d > < W i d t h > 2 0 0 < / W i d t h > < / a : V a l u e > < / a : K e y V a l u e O f D i a g r a m O b j e c t K e y a n y T y p e z b w N T n L X > < a : K e y V a l u e O f D i a g r a m O b j e c t K e y a n y T y p e z b w N T n L X > < a : K e y > < K e y > T a b l e s \ C O V E R E D _ B O N D \ C o l u m n s \ C U R R E N C Y < / K e y > < / a : K e y > < a : V a l u e   i : t y p e = " D i a g r a m D i s p l a y N o d e V i e w S t a t e " > < H e i g h t > 1 5 0 < / H e i g h t > < I s E x p a n d e d > t r u e < / I s E x p a n d e d > < W i d t h > 2 0 0 < / W i d t h > < / a : V a l u e > < / a : K e y V a l u e O f D i a g r a m O b j e c t K e y a n y T y p e z b w N T n L X > < a : K e y V a l u e O f D i a g r a m O b j e c t K e y a n y T y p e z b w N T n L X > < a : K e y > < K e y > T a b l e s \ C O V E R E D _ B O N D \ C o l u m n s \ C U R R E N T _ B A L A N C E _ I N _ I S S U E D _ C U R R E N C Y < / K e y > < / a : K e y > < a : V a l u e   i : t y p e = " D i a g r a m D i s p l a y N o d e V i e w S t a t e " > < H e i g h t > 1 5 0 < / H e i g h t > < I s E x p a n d e d > t r u e < / I s E x p a n d e d > < W i d t h > 2 0 0 < / W i d t h > < / a : V a l u e > < / a : K e y V a l u e O f D i a g r a m O b j e c t K e y a n y T y p e z b w N T n L X > < a : K e y V a l u e O f D i a g r a m O b j e c t K e y a n y T y p e z b w N T n L X > < a : K e y > < K e y > T a b l e s \ C O V E R E D _ B O N D \ C o l u m n s \ C U R R E N T _ B A L A N C E _ I N _ D E F A U L T _ C U R R E N C Y < / K e y > < / a : K e y > < a : V a l u e   i : t y p e = " D i a g r a m D i s p l a y N o d e V i e w S t a t e " > < H e i g h t > 1 5 0 < / H e i g h t > < I s E x p a n d e d > t r u e < / I s E x p a n d e d > < W i d t h > 2 0 0 < / W i d t h > < / a : V a l u e > < / a : K e y V a l u e O f D i a g r a m O b j e c t K e y a n y T y p e z b w N T n L X > < a : K e y V a l u e O f D i a g r a m O b j e c t K e y a n y T y p e z b w N T n L X > < a : K e y > < K e y > T a b l e s \ C O V E R E D _ B O N D \ C o l u m n s \ E X P E C T E D _ M A T U R I T Y _ D A T E < / K e y > < / a : K e y > < a : V a l u e   i : t y p e = " D i a g r a m D i s p l a y N o d e V i e w S t a t e " > < H e i g h t > 1 5 0 < / H e i g h t > < I s E x p a n d e d > t r u e < / I s E x p a n d e d > < W i d t h > 2 0 0 < / W i d t h > < / a : V a l u e > < / a : K e y V a l u e O f D i a g r a m O b j e c t K e y a n y T y p e z b w N T n L X > < a : K e y V a l u e O f D i a g r a m O b j e c t K e y a n y T y p e z b w N T n L X > < a : K e y > < K e y > T a b l e s \ C O V E R E D _ B O N D \ C o l u m n s \ E X T E N D E D _ M A T U R I T Y _ D A T E < / K e y > < / a : K e y > < a : V a l u e   i : t y p e = " D i a g r a m D i s p l a y N o d e V i e w S t a t e " > < H e i g h t > 1 5 0 < / H e i g h t > < I s E x p a n d e d > t r u e < / I s E x p a n d e d > < W i d t h > 2 0 0 < / W i d t h > < / a : V a l u e > < / a : K e y V a l u e O f D i a g r a m O b j e c t K e y a n y T y p e z b w N T n L X > < a : K e y V a l u e O f D i a g r a m O b j e c t K e y a n y T y p e z b w N T n L X > < a : K e y > < K e y > T a b l e s \ C O V E R E D _ B O N D \ C o l u m n s \ N E X T _ I N T E R E S T _ P A Y M E N T _ D A T E < / K e y > < / a : K e y > < a : V a l u e   i : t y p e = " D i a g r a m D i s p l a y N o d e V i e w S t a t e " > < H e i g h t > 1 5 0 < / H e i g h t > < I s E x p a n d e d > t r u e < / I s E x p a n d e d > < W i d t h > 2 0 0 < / W i d t h > < / a : V a l u e > < / a : K e y V a l u e O f D i a g r a m O b j e c t K e y a n y T y p e z b w N T n L X > < a : K e y V a l u e O f D i a g r a m O b j e c t K e y a n y T y p e z b w N T n L X > < a : K e y > < K e y > T a b l e s \ C O V E R E D _ B O N D \ C o l u m n s \ N E X T _ P R I N C I P A L _ P A Y M E N T _ D A T E < / K e y > < / a : K e y > < a : V a l u e   i : t y p e = " D i a g r a m D i s p l a y N o d e V i e w S t a t e " > < H e i g h t > 1 5 0 < / H e i g h t > < I s E x p a n d e d > t r u e < / I s E x p a n d e d > < W i d t h > 2 0 0 < / W i d t h > < / a : V a l u e > < / a : K e y V a l u e O f D i a g r a m O b j e c t K e y a n y T y p e z b w N T n L X > < a : K e y V a l u e O f D i a g r a m O b j e c t K e y a n y T y p e z b w N T n L X > < a : K e y > < K e y > T a b l e s \ C O V E R E D _ B O N D \ C o l u m n s \ I N T E R E S T _ P A Y M E N T _ F R E Q U E N C Y < / K e y > < / a : K e y > < a : V a l u e   i : t y p e = " D i a g r a m D i s p l a y N o d e V i e w S t a t e " > < H e i g h t > 1 5 0 < / H e i g h t > < I s E x p a n d e d > t r u e < / I s E x p a n d e d > < W i d t h > 2 0 0 < / W i d t h > < / a : V a l u e > < / a : K e y V a l u e O f D i a g r a m O b j e c t K e y a n y T y p e z b w N T n L X > < a : K e y V a l u e O f D i a g r a m O b j e c t K e y a n y T y p e z b w N T n L X > < a : K e y > < K e y > T a b l e s \ C O V E R E D _ B O N D \ C o l u m n s \ P R I N C I P A L _ P A Y M E N T _ F R E Q U E N C Y < / K e y > < / a : K e y > < a : V a l u e   i : t y p e = " D i a g r a m D i s p l a y N o d e V i e w S t a t e " > < H e i g h t > 1 5 0 < / H e i g h t > < I s E x p a n d e d > t r u e < / I s E x p a n d e d > < W i d t h > 2 0 0 < / W i d t h > < / a : V a l u e > < / a : K e y V a l u e O f D i a g r a m O b j e c t K e y a n y T y p e z b w N T n L X > < a : K e y V a l u e O f D i a g r a m O b j e c t K e y a n y T y p e z b w N T n L X > < a : K e y > < K e y > T a b l e s \ C O V E R E D _ B O N D \ C o l u m n s \ P R I N C I P A L _ R E D E M P T I O N _ T Y P E < / K e y > < / a : K e y > < a : V a l u e   i : t y p e = " D i a g r a m D i s p l a y N o d e V i e w S t a t e " > < H e i g h t > 1 5 0 < / H e i g h t > < I s E x p a n d e d > t r u e < / I s E x p a n d e d > < W i d t h > 2 0 0 < / W i d t h > < / a : V a l u e > < / a : K e y V a l u e O f D i a g r a m O b j e c t K e y a n y T y p e z b w N T n L X > < a : K e y V a l u e O f D i a g r a m O b j e c t K e y a n y T y p e z b w N T n L X > < a : K e y > < K e y > T a b l e s \ C O V E R E D _ B O N D \ C o l u m n s \ I N T E R E S T _ R A T E _ T Y P E < / K e y > < / a : K e y > < a : V a l u e   i : t y p e = " D i a g r a m D i s p l a y N o d e V i e w S t a t e " > < H e i g h t > 1 5 0 < / H e i g h t > < I s E x p a n d e d > t r u e < / I s E x p a n d e d > < W i d t h > 2 0 0 < / W i d t h > < / a : V a l u e > < / a : K e y V a l u e O f D i a g r a m O b j e c t K e y a n y T y p e z b w N T n L X > < a : K e y V a l u e O f D i a g r a m O b j e c t K e y a n y T y p e z b w N T n L X > < a : K e y > < K e y > T a b l e s \ C O V E R E D _ B O N D \ C o l u m n s \ I N T E R E S T _ R A T E < / K e y > < / a : K e y > < a : V a l u e   i : t y p e = " D i a g r a m D i s p l a y N o d e V i e w S t a t e " > < H e i g h t > 1 5 0 < / H e i g h t > < I s E x p a n d e d > t r u e < / I s E x p a n d e d > < W i d t h > 2 0 0 < / W i d t h > < / a : V a l u e > < / a : K e y V a l u e O f D i a g r a m O b j e c t K e y a n y T y p e z b w N T n L X > < a : K e y V a l u e O f D i a g r a m O b j e c t K e y a n y T y p e z b w N T n L X > < a : K e y > < K e y > T a b l e s \ C O V E R E D _ B O N D \ C o l u m n s \ I N T E R E S T _ M A R G I N < / K e y > < / a : K e y > < a : V a l u e   i : t y p e = " D i a g r a m D i s p l a y N o d e V i e w S t a t e " > < H e i g h t > 1 5 0 < / H e i g h t > < I s E x p a n d e d > t r u e < / I s E x p a n d e d > < W i d t h > 2 0 0 < / W i d t h > < / a : V a l u e > < / a : K e y V a l u e O f D i a g r a m O b j e c t K e y a n y T y p e z b w N T n L X > < a : K e y V a l u e O f D i a g r a m O b j e c t K e y a n y T y p e z b w N T n L X > < a : K e y > < K e y > T a b l e s \ C O V E R E D _ B O N D \ C o l u m n s \ B A S I S _ R A T E < / K e y > < / a : K e y > < a : V a l u e   i : t y p e = " D i a g r a m D i s p l a y N o d e V i e w S t a t e " > < H e i g h t > 1 5 0 < / H e i g h t > < I s E x p a n d e d > t r u e < / I s E x p a n d e d > < W i d t h > 2 0 0 < / W i d t h > < / a : V a l u e > < / a : K e y V a l u e O f D i a g r a m O b j e c t K e y a n y T y p e z b w N T n L X > < a : K e y V a l u e O f D i a g r a m O b j e c t K e y a n y T y p e z b w N T n L X > < a : K e y > < K e y > T a b l e s \ C O V E R E D _ B O N D \ C o l u m n s \ D A T E _ O F _ I S S U A N C E < / K e y > < / a : K e y > < a : V a l u e   i : t y p e = " D i a g r a m D i s p l a y N o d e V i e w S t a t e " > < H e i g h t > 1 5 0 < / H e i g h t > < I s E x p a n d e d > t r u e < / I s E x p a n d e d > < W i d t h > 2 0 0 < / W i d t h > < / a : V a l u e > < / a : K e y V a l u e O f D i a g r a m O b j e c t K e y a n y T y p e z b w N T n L X > < a : K e y V a l u e O f D i a g r a m O b j e c t K e y a n y T y p e z b w N T n L X > < a : K e y > < K e y > T a b l e s \ C O V E R E D _ B O N D \ C o l u m n s \ S E R I E S _ N U M B E R < / K e y > < / a : K e y > < a : V a l u e   i : t y p e = " D i a g r a m D i s p l a y N o d e V i e w S t a t e " > < H e i g h t > 1 5 0 < / H e i g h t > < I s E x p a n d e d > t r u e < / I s E x p a n d e d > < W i d t h > 2 0 0 < / W i d t h > < / a : V a l u e > < / a : K e y V a l u e O f D i a g r a m O b j e c t K e y a n y T y p e z b w N T n L X > < a : K e y V a l u e O f D i a g r a m O b j e c t K e y a n y T y p e z b w N T n L X > < a : K e y > < K e y > T a b l e s \ C O V E R E D _ B O N D \ C o l u m n s \ E S G _ B O N D < / K e y > < / a : K e y > < a : V a l u e   i : t y p e = " D i a g r a m D i s p l a y N o d e V i e w S t a t e " > < H e i g h t > 1 5 0 < / H e i g h t > < I s E x p a n d e d > t r u e < / I s E x p a n d e d > < W i d t h > 2 0 0 < / W i d t h > < / a : V a l u e > < / a : K e y V a l u e O f D i a g r a m O b j e c t K e y a n y T y p e z b w N T n L X > < a : K e y V a l u e O f D i a g r a m O b j e c t K e y a n y T y p e z b w N T n L X > < a : K e y > < K e y > T a b l e s \ C O V E R E D _ B O N D \ C o l u m n s \ S T R U C T U R E D _ F E A T U R E S < / K e y > < / a : K e y > < a : V a l u e   i : t y p e = " D i a g r a m D i s p l a y N o d e V i e w S t a t e " > < H e i g h t > 1 5 0 < / H e i g h t > < I s E x p a n d e d > t r u e < / I s E x p a n d e d > < W i d t h > 2 0 0 < / W i d t h > < / a : V a l u e > < / a : K e y V a l u e O f D i a g r a m O b j e c t K e y a n y T y p e z b w N T n L X > < a : K e y V a l u e O f D i a g r a m O b j e c t K e y a n y T y p e z b w N T n L X > < a : K e y > < K e y > T a b l e s \ C O V E R E D _ B O N D \ C o l u m n s \ P R I V A T E _ I S S U A N C E < / K e y > < / a : K e y > < a : V a l u e   i : t y p e = " D i a g r a m D i s p l a y N o d e V i e w S t a t e " > < H e i g h t > 1 5 0 < / H e i g h t > < I s E x p a n d e d > t r u e < / I s E x p a n d e d > < W i d t h > 2 0 0 < / W i d t h > < / a : V a l u e > < / a : K e y V a l u e O f D i a g r a m O b j e c t K e y a n y T y p e z b w N T n L X > < a : K e y V a l u e O f D i a g r a m O b j e c t K e y a n y T y p e z b w N T n L X > < a : K e y > < K e y > T a b l e s \ R E S I D E N T I A L _ L O A N < / K e y > < / a : K e y > < a : V a l u e   i : t y p e = " D i a g r a m D i s p l a y N o d e V i e w S t a t e " > < H e i g h t > 5 6 6 < / H e i g h t > < I s E x p a n d e d > t r u e < / I s E x p a n d e d > < L a y e d O u t > t r u e < / L a y e d O u t > < L e f t > 6 5 9 . 8 0 7 6 2 1 1 3 5 3 3 1 6 < / L e f t > < T a b I n d e x > 2 < / T a b I n d e x > < W i d t h > 2 0 0 < / W i d t h > < / a : V a l u e > < / a : K e y V a l u e O f D i a g r a m O b j e c t K e y a n y T y p e z b w N T n L X > < a : K e y V a l u e O f D i a g r a m O b j e c t K e y a n y T y p e z b w N T n L X > < a : K e y > < K e y > T a b l e s \ R E S I D E N T I A L _ L O A N \ C o l u m n s \ D A T U M < / K e y > < / a : K e y > < a : V a l u e   i : t y p e = " D i a g r a m D i s p l a y N o d e V i e w S t a t e " > < H e i g h t > 1 5 0 < / H e i g h t > < I s E x p a n d e d > t r u e < / I s E x p a n d e d > < W i d t h > 2 0 0 < / W i d t h > < / a : V a l u e > < / a : K e y V a l u e O f D i a g r a m O b j e c t K e y a n y T y p e z b w N T n L X > < a : K e y V a l u e O f D i a g r a m O b j e c t K e y a n y T y p e z b w N T n L X > < a : K e y > < K e y > T a b l e s \ R E S I D E N T I A L _ L O A N \ C o l u m n s \ I N S T I T U T S Z U O R D N U N G < / K e y > < / a : K e y > < a : V a l u e   i : t y p e = " D i a g r a m D i s p l a y N o d e V i e w S t a t e " > < H e i g h t > 1 5 0 < / H e i g h t > < I s E x p a n d e d > t r u e < / I s E x p a n d e d > < W i d t h > 2 0 0 < / W i d t h > < / a : V a l u e > < / a : K e y V a l u e O f D i a g r a m O b j e c t K e y a n y T y p e z b w N T n L X > < a : K e y V a l u e O f D i a g r a m O b j e c t K e y a n y T y p e z b w N T n L X > < a : K e y > < K e y > T a b l e s \ R E S I D E N T I A L _ L O A N \ C o l u m n s \ K O N T O N U M M E R < / K e y > < / a : K e y > < a : V a l u e   i : t y p e = " D i a g r a m D i s p l a y N o d e V i e w S t a t e " > < H e i g h t > 1 5 0 < / H e i g h t > < I s E x p a n d e d > t r u e < / I s E x p a n d e d > < W i d t h > 2 0 0 < / W i d t h > < / a : V a l u e > < / a : K e y V a l u e O f D i a g r a m O b j e c t K e y a n y T y p e z b w N T n L X > < a : K e y V a l u e O f D i a g r a m O b j e c t K e y a n y T y p e z b w N T n L X > < a : K e y > < K e y > T a b l e s \ R E S I D E N T I A L _ L O A N \ C o l u m n s \ S L I C E < / K e y > < / a : K e y > < a : V a l u e   i : t y p e = " D i a g r a m D i s p l a y N o d e V i e w S t a t e " > < H e i g h t > 1 5 0 < / H e i g h t > < I s E x p a n d e d > t r u e < / I s E x p a n d e d > < W i d t h > 2 0 0 < / W i d t h > < / a : V a l u e > < / a : K e y V a l u e O f D i a g r a m O b j e c t K e y a n y T y p e z b w N T n L X > < a : K e y V a l u e O f D i a g r a m O b j e c t K e y a n y T y p e z b w N T n L X > < a : K e y > < K e y > T a b l e s \ R E S I D E N T I A L _ L O A N \ C o l u m n s \ L T V < / K e y > < / a : K e y > < a : V a l u e   i : t y p e = " D i a g r a m D i s p l a y N o d e V i e w S t a t e " > < H e i g h t > 1 5 0 < / H e i g h t > < I s E x p a n d e d > t r u e < / I s E x p a n d e d > < W i d t h > 2 0 0 < / W i d t h > < / a : V a l u e > < / a : K e y V a l u e O f D i a g r a m O b j e c t K e y a n y T y p e z b w N T n L X > < a : K e y V a l u e O f D i a g r a m O b j e c t K e y a n y T y p e z b w N T n L X > < a : K e y > < K e y > T a b l e s \ R E S I D E N T I A L _ L O A N \ C o l u m n s \ L T V _ B U C K E T S < / K e y > < / a : K e y > < a : V a l u e   i : t y p e = " D i a g r a m D i s p l a y N o d e V i e w S t a t e " > < H e i g h t > 1 5 0 < / H e i g h t > < I s E x p a n d e d > t r u e < / I s E x p a n d e d > < W i d t h > 2 0 0 < / W i d t h > < / a : V a l u e > < / a : K e y V a l u e O f D i a g r a m O b j e c t K e y a n y T y p e z b w N T n L X > < a : K e y V a l u e O f D i a g r a m O b j e c t K e y a n y T y p e z b w N T n L X > < a : K e y > < K e y > T a b l e s \ R E S I D E N T I A L _ L O A N \ C o l u m n s \ K U N D E N N U M M E R < / K e y > < / a : K e y > < a : V a l u e   i : t y p e = " D i a g r a m D i s p l a y N o d e V i e w S t a t e " > < H e i g h t > 1 5 0 < / H e i g h t > < I s E x p a n d e d > t r u e < / I s E x p a n d e d > < W i d t h > 2 0 0 < / W i d t h > < / a : V a l u e > < / a : K e y V a l u e O f D i a g r a m O b j e c t K e y a n y T y p e z b w N T n L X > < a : K e y V a l u e O f D i a g r a m O b j e c t K e y a n y T y p e z b w N T n L X > < a : K e y > < K e y > T a b l e s \ R E S I D E N T I A L _ L O A N \ C o l u m n s \ S E A S O N I N G < / K e y > < / a : K e y > < a : V a l u e   i : t y p e = " D i a g r a m D i s p l a y N o d e V i e w S t a t e " > < H e i g h t > 1 5 0 < / H e i g h t > < I s E x p a n d e d > t r u e < / I s E x p a n d e d > < W i d t h > 2 0 0 < / W i d t h > < / a : V a l u e > < / a : K e y V a l u e O f D i a g r a m O b j e c t K e y a n y T y p e z b w N T n L X > < a : K e y V a l u e O f D i a g r a m O b j e c t K e y a n y T y p e z b w N T n L X > < a : K e y > < K e y > T a b l e s \ R E S I D E N T I A L _ L O A N \ C o l u m n s \ P U R P O S E _ T Y P E < / K e y > < / a : K e y > < a : V a l u e   i : t y p e = " D i a g r a m D i s p l a y N o d e V i e w S t a t e " > < H e i g h t > 1 5 0 < / H e i g h t > < I s E x p a n d e d > t r u e < / I s E x p a n d e d > < W i d t h > 2 0 0 < / W i d t h > < / a : V a l u e > < / a : K e y V a l u e O f D i a g r a m O b j e c t K e y a n y T y p e z b w N T n L X > < a : K e y V a l u e O f D i a g r a m O b j e c t K e y a n y T y p e z b w N T n L X > < a : K e y > < K e y > T a b l e s \ R E S I D E N T I A L _ L O A N \ C o l u m n s \ I N T E R E S T _ P A Y M E N T _ F R E Q U E N C Y < / K e y > < / a : K e y > < a : V a l u e   i : t y p e = " D i a g r a m D i s p l a y N o d e V i e w S t a t e " > < H e i g h t > 1 5 0 < / H e i g h t > < I s E x p a n d e d > t r u e < / I s E x p a n d e d > < W i d t h > 2 0 0 < / W i d t h > < / a : V a l u e > < / a : K e y V a l u e O f D i a g r a m O b j e c t K e y a n y T y p e z b w N T n L X > < a : K e y V a l u e O f D i a g r a m O b j e c t K e y a n y T y p e z b w N T n L X > < a : K e y > < K e y > T a b l e s \ R E S I D E N T I A L _ L O A N \ C o l u m n s \ P R I N C I P A L _ P A Y M E N T _ F R E Q U E N C Y < / K e y > < / a : K e y > < a : V a l u e   i : t y p e = " D i a g r a m D i s p l a y N o d e V i e w S t a t e " > < H e i g h t > 1 5 0 < / H e i g h t > < I s E x p a n d e d > t r u e < / I s E x p a n d e d > < W i d t h > 2 0 0 < / W i d t h > < / a : V a l u e > < / a : K e y V a l u e O f D i a g r a m O b j e c t K e y a n y T y p e z b w N T n L X > < a : K e y V a l u e O f D i a g r a m O b j e c t K e y a n y T y p e z b w N T n L X > < a : K e y > < K e y > T a b l e s \ R E S I D E N T I A L _ L O A N \ C o l u m n s \ I N T E R E S T _ R A T E _ T Y P E < / K e y > < / a : K e y > < a : V a l u e   i : t y p e = " D i a g r a m D i s p l a y N o d e V i e w S t a t e " > < H e i g h t > 1 5 0 < / H e i g h t > < I s E x p a n d e d > t r u e < / I s E x p a n d e d > < W i d t h > 2 0 0 < / W i d t h > < / a : V a l u e > < / a : K e y V a l u e O f D i a g r a m O b j e c t K e y a n y T y p e z b w N T n L X > < a : K e y V a l u e O f D i a g r a m O b j e c t K e y a n y T y p e z b w N T n L X > < a : K e y > < K e y > T a b l e s \ R E S I D E N T I A L _ L O A N \ C o l u m n s \ E M P L O Y M E N T _ T Y P E < / K e y > < / a : K e y > < a : V a l u e   i : t y p e = " D i a g r a m D i s p l a y N o d e V i e w S t a t e " > < H e i g h t > 1 5 0 < / H e i g h t > < I s E x p a n d e d > t r u e < / I s E x p a n d e d > < W i d t h > 2 0 0 < / W i d t h > < / a : V a l u e > < / a : K e y V a l u e O f D i a g r a m O b j e c t K e y a n y T y p e z b w N T n L X > < a : K e y V a l u e O f D i a g r a m O b j e c t K e y a n y T y p e z b w N T n L X > < a : K e y > < K e y > T a b l e s \ R E S I D E N T I A L _ L O A N \ C o l u m n s \ V E R Z U G S T A G E < / K e y > < / a : K e y > < a : V a l u e   i : t y p e = " D i a g r a m D i s p l a y N o d e V i e w S t a t e " > < H e i g h t > 1 5 0 < / H e i g h t > < I s E x p a n d e d > t r u e < / I s E x p a n d e d > < W i d t h > 2 0 0 < / W i d t h > < / a : V a l u e > < / a : K e y V a l u e O f D i a g r a m O b j e c t K e y a n y T y p e z b w N T n L X > < a : K e y V a l u e O f D i a g r a m O b j e c t K e y a n y T y p e z b w N T n L X > < a : K e y > < K e y > T a b l e s \ R E S I D E N T I A L _ L O A N \ C o l u m n s \ R E G I O N S < / K e y > < / a : K e y > < a : V a l u e   i : t y p e = " D i a g r a m D i s p l a y N o d e V i e w S t a t e " > < H e i g h t > 1 5 0 < / H e i g h t > < I s E x p a n d e d > t r u e < / I s E x p a n d e d > < W i d t h > 2 0 0 < / W i d t h > < / a : V a l u e > < / a : K e y V a l u e O f D i a g r a m O b j e c t K e y a n y T y p e z b w N T n L X > < a : K e y V a l u e O f D i a g r a m O b j e c t K e y a n y T y p e z b w N T n L X > < a : K e y > < K e y > T a b l e s \ R E S I D E N T I A L _ L O A N \ C o l u m n s \ K U N D _ A D R _ L A N D < / K e y > < / a : K e y > < a : V a l u e   i : t y p e = " D i a g r a m D i s p l a y N o d e V i e w S t a t e " > < H e i g h t > 1 5 0 < / H e i g h t > < I s E x p a n d e d > t r u e < / I s E x p a n d e d > < W i d t h > 2 0 0 < / W i d t h > < / a : V a l u e > < / a : K e y V a l u e O f D i a g r a m O b j e c t K e y a n y T y p e z b w N T n L X > < a : K e y V a l u e O f D i a g r a m O b j e c t K e y a n y T y p e z b w N T n L X > < a : K e y > < K e y > T a b l e s \ R E S I D E N T I A L _ L O A N \ C o l u m n s \ D A T U M _ F O R M A L I S I E R U N G < / K e y > < / a : K e y > < a : V a l u e   i : t y p e = " D i a g r a m D i s p l a y N o d e V i e w S t a t e " > < H e i g h t > 1 5 0 < / H e i g h t > < I s E x p a n d e d > t r u e < / I s E x p a n d e d > < W i d t h > 2 0 0 < / W i d t h > < / a : V a l u e > < / a : K e y V a l u e O f D i a g r a m O b j e c t K e y a n y T y p e z b w N T n L X > < a : K e y V a l u e O f D i a g r a m O b j e c t K e y a n y T y p e z b w N T n L X > < a : K e y > < K e y > T a b l e s \ R E S I D E N T I A L _ L O A N \ C o l u m n s \ S E G M E N T < / K e y > < / a : K e y > < a : V a l u e   i : t y p e = " D i a g r a m D i s p l a y N o d e V i e w S t a t e " > < H e i g h t > 1 5 0 < / H e i g h t > < I s E x p a n d e d > t r u e < / I s E x p a n d e d > < W i d t h > 2 0 0 < / W i d t h > < / a : V a l u e > < / a : K e y V a l u e O f D i a g r a m O b j e c t K e y a n y T y p e z b w N T n L X > < a : K e y V a l u e O f D i a g r a m O b j e c t K e y a n y T y p e z b w N T n L X > < a : K e y > < K e y > T a b l e s \ C O M M E R C I A L _ L O A N < / K e y > < / a : K e y > < a : V a l u e   i : t y p e = " D i a g r a m D i s p l a y N o d e V i e w S t a t e " > < H e i g h t > 8 5 2 < / H e i g h t > < I s E x p a n d e d > t r u e < / I s E x p a n d e d > < I s F o c u s e d > t r u e < / I s F o c u s e d > < L a y e d O u t > t r u e < / L a y e d O u t > < S c r o l l V e r t i c a l O f f s e t > 1 1 . 4 2 0 0 0 0 0 0 0 0 0 0 0 1 6 < / S c r o l l V e r t i c a l O f f s e t > < W i d t h > 2 0 0 < / W i d t h > < / a : V a l u e > < / a : K e y V a l u e O f D i a g r a m O b j e c t K e y a n y T y p e z b w N T n L X > < a : K e y V a l u e O f D i a g r a m O b j e c t K e y a n y T y p e z b w N T n L X > < a : K e y > < K e y > T a b l e s \ C O M M E R C I A L _ L O A N \ C o l u m n s \ D A T U M < / K e y > < / a : K e y > < a : V a l u e   i : t y p e = " D i a g r a m D i s p l a y N o d e V i e w S t a t e " > < H e i g h t > 1 5 0 < / H e i g h t > < I s E x p a n d e d > t r u e < / I s E x p a n d e d > < W i d t h > 2 0 0 < / W i d t h > < / a : V a l u e > < / a : K e y V a l u e O f D i a g r a m O b j e c t K e y a n y T y p e z b w N T n L X > < a : K e y V a l u e O f D i a g r a m O b j e c t K e y a n y T y p e z b w N T n L X > < a : K e y > < K e y > T a b l e s \ C O M M E R C I A L _ L O A N \ C o l u m n s \ I N S T I T U T S Z U O R D N U N G < / K e y > < / a : K e y > < a : V a l u e   i : t y p e = " D i a g r a m D i s p l a y N o d e V i e w S t a t e " > < H e i g h t > 1 5 0 < / H e i g h t > < I s E x p a n d e d > t r u e < / I s E x p a n d e d > < W i d t h > 2 0 0 < / W i d t h > < / a : V a l u e > < / a : K e y V a l u e O f D i a g r a m O b j e c t K e y a n y T y p e z b w N T n L X > < a : K e y V a l u e O f D i a g r a m O b j e c t K e y a n y T y p e z b w N T n L X > < a : K e y > < K e y > T a b l e s \ C O M M E R C I A L _ L O A N \ C o l u m n s \ L O A N _ I D < / K e y > < / a : K e y > < a : V a l u e   i : t y p e = " D i a g r a m D i s p l a y N o d e V i e w S t a t e " > < H e i g h t > 1 5 0 < / H e i g h t > < I s E x p a n d e d > t r u e < / I s E x p a n d e d > < W i d t h > 2 0 0 < / W i d t h > < / a : V a l u e > < / a : K e y V a l u e O f D i a g r a m O b j e c t K e y a n y T y p e z b w N T n L X > < a : K e y V a l u e O f D i a g r a m O b j e c t K e y a n y T y p e z b w N T n L X > < a : K e y > < K e y > T a b l e s \ C O M M E R C I A L _ L O A N \ C o l u m n s \ L O A N _ C U R R E N C Y < / K e y > < / a : K e y > < a : V a l u e   i : t y p e = " D i a g r a m D i s p l a y N o d e V i e w S t a t e " > < H e i g h t > 1 5 0 < / H e i g h t > < I s E x p a n d e d > t r u e < / I s E x p a n d e d > < W i d t h > 2 0 0 < / W i d t h > < / a : V a l u e > < / a : K e y V a l u e O f D i a g r a m O b j e c t K e y a n y T y p e z b w N T n L X > < a : K e y V a l u e O f D i a g r a m O b j e c t K e y a n y T y p e z b w N T n L X > < a : K e y > < K e y > T a b l e s \ C O M M E R C I A L _ L O A N \ C o l u m n s \ L O A N _ B A L A N C E _ 1 < / K e y > < / a : K e y > < a : V a l u e   i : t y p e = " D i a g r a m D i s p l a y N o d e V i e w S t a t e " > < H e i g h t > 1 5 0 < / H e i g h t > < I s E x p a n d e d > t r u e < / I s E x p a n d e d > < W i d t h > 2 0 0 < / W i d t h > < / a : V a l u e > < / a : K e y V a l u e O f D i a g r a m O b j e c t K e y a n y T y p e z b w N T n L X > < a : K e y V a l u e O f D i a g r a m O b j e c t K e y a n y T y p e z b w N T n L X > < a : K e y > < K e y > T a b l e s \ C O M M E R C I A L _ L O A N \ C o l u m n s \ L O A N _ B A L A N C E _ 2 < / K e y > < / a : K e y > < a : V a l u e   i : t y p e = " D i a g r a m D i s p l a y N o d e V i e w S t a t e " > < H e i g h t > 1 5 0 < / H e i g h t > < I s E x p a n d e d > t r u e < / I s E x p a n d e d > < W i d t h > 2 0 0 < / W i d t h > < / a : V a l u e > < / a : K e y V a l u e O f D i a g r a m O b j e c t K e y a n y T y p e z b w N T n L X > < a : K e y V a l u e O f D i a g r a m O b j e c t K e y a n y T y p e z b w N T n L X > < a : K e y > < K e y > T a b l e s \ C O M M E R C I A L _ L O A N \ C o l u m n s \ C O M M I T T E D _ F U R T H E R _ A D V A N C E < / K e y > < / a : K e y > < a : V a l u e   i : t y p e = " D i a g r a m D i s p l a y N o d e V i e w S t a t e " > < H e i g h t > 1 5 0 < / H e i g h t > < I s E x p a n d e d > t r u e < / I s E x p a n d e d > < W i d t h > 2 0 0 < / W i d t h > < / a : V a l u e > < / a : K e y V a l u e O f D i a g r a m O b j e c t K e y a n y T y p e z b w N T n L X > < a : K e y V a l u e O f D i a g r a m O b j e c t K e y a n y T y p e z b w N T n L X > < a : K e y > < K e y > T a b l e s \ C O M M E R C I A L _ L O A N \ C o l u m n s \ S C H E D U L E D _ L O A N _ B A L A N C E _ A T _ M A T U R I T Y _ 1 < / K e y > < / a : K e y > < a : V a l u e   i : t y p e = " D i a g r a m D i s p l a y N o d e V i e w S t a t e " > < H e i g h t > 1 5 0 < / H e i g h t > < I s E x p a n d e d > t r u e < / I s E x p a n d e d > < W i d t h > 2 0 0 < / W i d t h > < / a : V a l u e > < / a : K e y V a l u e O f D i a g r a m O b j e c t K e y a n y T y p e z b w N T n L X > < a : K e y V a l u e O f D i a g r a m O b j e c t K e y a n y T y p e z b w N T n L X > < a : K e y > < K e y > T a b l e s \ C O M M E R C I A L _ L O A N \ C o l u m n s \ S C H E D U L E D _ L O A N _ B A L A N C E _ A T _ M A T U R I T Y _ 2 < / K e y > < / a : K e y > < a : V a l u e   i : t y p e = " D i a g r a m D i s p l a y N o d e V i e w S t a t e " > < H e i g h t > 1 5 0 < / H e i g h t > < I s E x p a n d e d > t r u e < / I s E x p a n d e d > < W i d t h > 2 0 0 < / W i d t h > < / a : V a l u e > < / a : K e y V a l u e O f D i a g r a m O b j e c t K e y a n y T y p e z b w N T n L X > < a : K e y V a l u e O f D i a g r a m O b j e c t K e y a n y T y p e z b w N T n L X > < a : K e y > < K e y > T a b l e s \ C O M M E R C I A L _ L O A N \ C o l u m n s \ R E M A I N I N G _ T E R M _ I N _ M O N T H S < / K e y > < / a : K e y > < a : V a l u e   i : t y p e = " D i a g r a m D i s p l a y N o d e V i e w S t a t e " > < H e i g h t > 1 5 0 < / H e i g h t > < I s E x p a n d e d > t r u e < / I s E x p a n d e d > < W i d t h > 2 0 0 < / W i d t h > < / a : V a l u e > < / a : K e y V a l u e O f D i a g r a m O b j e c t K e y a n y T y p e z b w N T n L X > < a : K e y V a l u e O f D i a g r a m O b j e c t K e y a n y T y p e z b w N T n L X > < a : K e y > < K e y > T a b l e s \ C O M M E R C I A L _ L O A N \ C o l u m n s \ S C H E D U L E D _ M A T U R I T Y _ D A T E _ O N _ L O A N < / K e y > < / a : K e y > < a : V a l u e   i : t y p e = " D i a g r a m D i s p l a y N o d e V i e w S t a t e " > < H e i g h t > 1 5 0 < / H e i g h t > < I s E x p a n d e d > t r u e < / I s E x p a n d e d > < W i d t h > 2 0 0 < / W i d t h > < / a : V a l u e > < / a : K e y V a l u e O f D i a g r a m O b j e c t K e y a n y T y p e z b w N T n L X > < a : K e y V a l u e O f D i a g r a m O b j e c t K e y a n y T y p e z b w N T n L X > < a : K e y > < K e y > T a b l e s \ C O M M E R C I A L _ L O A N \ C o l u m n s \ L O A N _ O R I G I N A T I O N _ D A T E < / K e y > < / a : K e y > < a : V a l u e   i : t y p e = " D i a g r a m D i s p l a y N o d e V i e w S t a t e " > < H e i g h t > 1 5 0 < / H e i g h t > < I s E x p a n d e d > t r u e < / I s E x p a n d e d > < W i d t h > 2 0 0 < / W i d t h > < / a : V a l u e > < / a : K e y V a l u e O f D i a g r a m O b j e c t K e y a n y T y p e z b w N T n L X > < a : K e y V a l u e O f D i a g r a m O b j e c t K e y a n y T y p e z b w N T n L X > < a : K e y > < K e y > T a b l e s \ C O M M E R C I A L _ L O A N \ C o l u m n s \ W H O L E _ L T V < / K e y > < / a : K e y > < a : V a l u e   i : t y p e = " D i a g r a m D i s p l a y N o d e V i e w S t a t e " > < H e i g h t > 1 5 0 < / H e i g h t > < I s E x p a n d e d > t r u e < / I s E x p a n d e d > < W i d t h > 2 0 0 < / W i d t h > < / a : V a l u e > < / a : K e y V a l u e O f D i a g r a m O b j e c t K e y a n y T y p e z b w N T n L X > < a : K e y V a l u e O f D i a g r a m O b j e c t K e y a n y T y p e z b w N T n L X > < a : K e y > < K e y > T a b l e s \ C O M M E R C I A L _ L O A N \ C o l u m n s \ P R I O R _ R A N K S _ S E C U R E D _ B Y _ P R O P E R T Y < / K e y > < / a : K e y > < a : V a l u e   i : t y p e = " D i a g r a m D i s p l a y N o d e V i e w S t a t e " > < H e i g h t > 1 5 0 < / H e i g h t > < I s E x p a n d e d > t r u e < / I s E x p a n d e d > < W i d t h > 2 0 0 < / W i d t h > < / a : V a l u e > < / a : K e y V a l u e O f D i a g r a m O b j e c t K e y a n y T y p e z b w N T n L X > < a : K e y V a l u e O f D i a g r a m O b j e c t K e y a n y T y p e z b w N T n L X > < a : K e y > < K e y > T a b l e s \ C O M M E R C I A L _ L O A N \ C o l u m n s \ J U N I O R _ R A N K S < / K e y > < / a : K e y > < a : V a l u e   i : t y p e = " D i a g r a m D i s p l a y N o d e V i e w S t a t e " > < H e i g h t > 1 5 0 < / H e i g h t > < I s E x p a n d e d > t r u e < / I s E x p a n d e d > < W i d t h > 2 0 0 < / W i d t h > < / a : V a l u e > < / a : K e y V a l u e O f D i a g r a m O b j e c t K e y a n y T y p e z b w N T n L X > < a : K e y V a l u e O f D i a g r a m O b j e c t K e y a n y T y p e z b w N T n L X > < a : K e y > < K e y > T a b l e s \ C O M M E R C I A L _ L O A N \ C o l u m n s \ I N T E R E S T _ R A T E _ T Y P E < / K e y > < / a : K e y > < a : V a l u e   i : t y p e = " D i a g r a m D i s p l a y N o d e V i e w S t a t e " > < H e i g h t > 1 5 0 < / H e i g h t > < I s E x p a n d e d > t r u e < / I s E x p a n d e d > < W i d t h > 2 0 0 < / W i d t h > < / a : V a l u e > < / a : K e y V a l u e O f D i a g r a m O b j e c t K e y a n y T y p e z b w N T n L X > < a : K e y V a l u e O f D i a g r a m O b j e c t K e y a n y T y p e z b w N T n L X > < a : K e y > < K e y > T a b l e s \ C O M M E R C I A L _ L O A N \ C o l u m n s \ F I X E D _ I N T E R E S T _ R A T E < / K e y > < / a : K e y > < a : V a l u e   i : t y p e = " D i a g r a m D i s p l a y N o d e V i e w S t a t e " > < H e i g h t > 1 5 0 < / H e i g h t > < I s E x p a n d e d > t r u e < / I s E x p a n d e d > < W i d t h > 2 0 0 < / W i d t h > < / a : V a l u e > < / a : K e y V a l u e O f D i a g r a m O b j e c t K e y a n y T y p e z b w N T n L X > < a : K e y V a l u e O f D i a g r a m O b j e c t K e y a n y T y p e z b w N T n L X > < a : K e y > < K e y > T a b l e s \ C O M M E R C I A L _ L O A N \ C o l u m n s \ I N T E R E S T _ M A R G I N < / K e y > < / a : K e y > < a : V a l u e   i : t y p e = " D i a g r a m D i s p l a y N o d e V i e w S t a t e " > < H e i g h t > 1 5 0 < / H e i g h t > < I s E x p a n d e d > t r u e < / I s E x p a n d e d > < W i d t h > 2 0 0 < / W i d t h > < / a : V a l u e > < / a : K e y V a l u e O f D i a g r a m O b j e c t K e y a n y T y p e z b w N T n L X > < a : K e y V a l u e O f D i a g r a m O b j e c t K e y a n y T y p e z b w N T n L X > < a : K e y > < K e y > T a b l e s \ C O M M E R C I A L _ L O A N \ C o l u m n s \ B A S I S _ O R _ R E F E R E N C E _ R A T E < / K e y > < / a : K e y > < a : V a l u e   i : t y p e = " D i a g r a m D i s p l a y N o d e V i e w S t a t e " > < H e i g h t > 1 5 0 < / H e i g h t > < I s E x p a n d e d > t r u e < / I s E x p a n d e d > < W i d t h > 2 0 0 < / W i d t h > < / a : V a l u e > < / a : K e y V a l u e O f D i a g r a m O b j e c t K e y a n y T y p e z b w N T n L X > < a : K e y V a l u e O f D i a g r a m O b j e c t K e y a n y T y p e z b w N T n L X > < a : K e y > < K e y > T a b l e s \ C O M M E R C I A L _ L O A N \ C o l u m n s \ D S C R < / K e y > < / a : K e y > < a : V a l u e   i : t y p e = " D i a g r a m D i s p l a y N o d e V i e w S t a t e " > < H e i g h t > 1 5 0 < / H e i g h t > < I s E x p a n d e d > t r u e < / I s E x p a n d e d > < W i d t h > 2 0 0 < / W i d t h > < / a : V a l u e > < / a : K e y V a l u e O f D i a g r a m O b j e c t K e y a n y T y p e z b w N T n L X > < a : K e y V a l u e O f D i a g r a m O b j e c t K e y a n y T y p e z b w N T n L X > < a : K e y > < K e y > T a b l e s \ C O M M E R C I A L _ L O A N \ C o l u m n s \ P R I N C I P A L _ P A Y M E N T _ F R E Q U E N C Y < / K e y > < / a : K e y > < a : V a l u e   i : t y p e = " D i a g r a m D i s p l a y N o d e V i e w S t a t e " > < H e i g h t > 1 5 0 < / H e i g h t > < I s E x p a n d e d > t r u e < / I s E x p a n d e d > < W i d t h > 2 0 0 < / W i d t h > < / a : V a l u e > < / a : K e y V a l u e O f D i a g r a m O b j e c t K e y a n y T y p e z b w N T n L X > < a : K e y V a l u e O f D i a g r a m O b j e c t K e y a n y T y p e z b w N T n L X > < a : K e y > < K e y > T a b l e s \ C O M M E R C I A L _ L O A N \ C o l u m n s \ P R I N C I P A L _ R E P A Y M E N T _ M E T H O D < / K e y > < / a : K e y > < a : V a l u e   i : t y p e = " D i a g r a m D i s p l a y N o d e V i e w S t a t e " > < H e i g h t > 1 5 0 < / H e i g h t > < I s E x p a n d e d > t r u e < / I s E x p a n d e d > < W i d t h > 2 0 0 < / W i d t h > < / a : V a l u e > < / a : K e y V a l u e O f D i a g r a m O b j e c t K e y a n y T y p e z b w N T n L X > < a : K e y V a l u e O f D i a g r a m O b j e c t K e y a n y T y p e z b w N T n L X > < a : K e y > < K e y > T a b l e s \ C O M M E R C I A L _ L O A N \ C o l u m n s \ L O A N _ P E R F O R M I N G < / K e y > < / a : K e y > < a : V a l u e   i : t y p e = " D i a g r a m D i s p l a y N o d e V i e w S t a t e " > < H e i g h t > 1 5 0 < / H e i g h t > < I s E x p a n d e d > t r u e < / I s E x p a n d e d > < W i d t h > 2 0 0 < / W i d t h > < / a : V a l u e > < / a : K e y V a l u e O f D i a g r a m O b j e c t K e y a n y T y p e z b w N T n L X > < a : K e y V a l u e O f D i a g r a m O b j e c t K e y a n y T y p e z b w N T n L X > < a : K e y > < K e y > T a b l e s \ C O M M E R C I A L _ L O A N \ C o l u m n s \ D E B T O R _ I D < / K e y > < / a : K e y > < a : V a l u e   i : t y p e = " D i a g r a m D i s p l a y N o d e V i e w S t a t e " > < H e i g h t > 1 5 0 < / H e i g h t > < I s E x p a n d e d > t r u e < / I s E x p a n d e d > < W i d t h > 2 0 0 < / W i d t h > < / a : V a l u e > < / a : K e y V a l u e O f D i a g r a m O b j e c t K e y a n y T y p e z b w N T n L X > < a : K e y V a l u e O f D i a g r a m O b j e c t K e y a n y T y p e z b w N T n L X > < a : K e y > < K e y > T a b l e s \ C O M M E R C I A L _ L O A N \ C o l u m n s \ D E B T O R _ N A M E < / K e y > < / a : K e y > < a : V a l u e   i : t y p e = " D i a g r a m D i s p l a y N o d e V i e w S t a t e " > < H e i g h t > 1 5 0 < / H e i g h t > < I s E x p a n d e d > t r u e < / I s E x p a n d e d > < W i d t h > 2 0 0 < / W i d t h > < / a : V a l u e > < / a : K e y V a l u e O f D i a g r a m O b j e c t K e y a n y T y p e z b w N T n L X > < a : K e y V a l u e O f D i a g r a m O b j e c t K e y a n y T y p e z b w N T n L X > < a : K e y > < K e y > T a b l e s \ C O M M E R C I A L _ L O A N \ C o l u m n s \ D E B T O R _ T Y P E < / K e y > < / a : K e y > < a : V a l u e   i : t y p e = " D i a g r a m D i s p l a y N o d e V i e w S t a t e " > < H e i g h t > 1 5 0 < / H e i g h t > < I s E x p a n d e d > t r u e < / I s E x p a n d e d > < W i d t h > 2 0 0 < / W i d t h > < / a : V a l u e > < / a : K e y V a l u e O f D i a g r a m O b j e c t K e y a n y T y p e z b w N T n L X > < a : K e y V a l u e O f D i a g r a m O b j e c t K e y a n y T y p e z b w N T n L X > < a : K e y > < K e y > T a b l e s \ C O M M E R C I A L _ L O A N \ C o l u m n s \ R E C O U R S E _ T O _ B O R R O W E R < / K e y > < / a : K e y > < a : V a l u e   i : t y p e = " D i a g r a m D i s p l a y N o d e V i e w S t a t e " > < H e i g h t > 1 5 0 < / H e i g h t > < I s E x p a n d e d > t r u e < / I s E x p a n d e d > < W i d t h > 2 0 0 < / W i d t h > < / a : V a l u e > < / a : K e y V a l u e O f D i a g r a m O b j e c t K e y a n y T y p e z b w N T n L X > < a : K e y V a l u e O f D i a g r a m O b j e c t K e y a n y T y p e z b w N T n L X > < a : K e y > < K e y > T a b l e s \ C O M M E R C I A L _ L O A N \ C o l u m n s \ P R O P E R T Y _ I D < / K e y > < / a : K e y > < a : V a l u e   i : t y p e = " D i a g r a m D i s p l a y N o d e V i e w S t a t e " > < H e i g h t > 1 5 0 < / H e i g h t > < I s E x p a n d e d > t r u e < / I s E x p a n d e d > < W i d t h > 2 0 0 < / W i d t h > < / a : V a l u e > < / a : K e y V a l u e O f D i a g r a m O b j e c t K e y a n y T y p e z b w N T n L X > < a : K e y V a l u e O f D i a g r a m O b j e c t K e y a n y T y p e z b w N T n L X > < a : K e y > < K e y > T a b l e s \ C O M M E R C I A L _ L O A N \ C o l u m n s \ V A L U A T I O N _ O F _ P R O P E R T Y _ I N _ D E F A U L T _ C U R R E N C Y < / K e y > < / a : K e y > < a : V a l u e   i : t y p e = " D i a g r a m D i s p l a y N o d e V i e w S t a t e " > < H e i g h t > 1 5 0 < / H e i g h t > < I s E x p a n d e d > t r u e < / I s E x p a n d e d > < W i d t h > 2 0 0 < / W i d t h > < / a : V a l u e > < / a : K e y V a l u e O f D i a g r a m O b j e c t K e y a n y T y p e z b w N T n L X > < a : K e y V a l u e O f D i a g r a m O b j e c t K e y a n y T y p e z b w N T n L X > < a : K e y > < K e y > T a b l e s \ C O M M E R C I A L _ L O A N \ C o l u m n s \ V A L U A T I O N _ O F _ P R O P E R T Y _ I N _ C U R R E N C Y _ O F _ T H E _ L O A N < / K e y > < / a : K e y > < a : V a l u e   i : t y p e = " D i a g r a m D i s p l a y N o d e V i e w S t a t e " > < H e i g h t > 1 5 0 < / H e i g h t > < I s E x p a n d e d > t r u e < / I s E x p a n d e d > < W i d t h > 2 0 0 < / W i d t h > < / a : V a l u e > < / a : K e y V a l u e O f D i a g r a m O b j e c t K e y a n y T y p e z b w N T n L X > < a : K e y V a l u e O f D i a g r a m O b j e c t K e y a n y T y p e z b w N T n L X > < a : K e y > < K e y > T a b l e s \ C O M M E R C I A L _ L O A N \ C o l u m n s \ U P D A T E D _ V A L U A T I O N _ O F _ P R O P E R T Y < / K e y > < / a : K e y > < a : V a l u e   i : t y p e = " D i a g r a m D i s p l a y N o d e V i e w S t a t e " > < H e i g h t > 1 5 0 < / H e i g h t > < I s E x p a n d e d > t r u e < / I s E x p a n d e d > < W i d t h > 2 0 0 < / W i d t h > < / a : V a l u e > < / a : K e y V a l u e O f D i a g r a m O b j e c t K e y a n y T y p e z b w N T n L X > < a : K e y V a l u e O f D i a g r a m O b j e c t K e y a n y T y p e z b w N T n L X > < a : K e y > < K e y > T a b l e s \ C O M M E R C I A L _ L O A N \ C o l u m n s \ D A T E _ O F _ V A L U A T I O N _ U S E D _ F O R _ L T V < / K e y > < / a : K e y > < a : V a l u e   i : t y p e = " D i a g r a m D i s p l a y N o d e V i e w S t a t e " > < H e i g h t > 1 5 0 < / H e i g h t > < I s E x p a n d e d > t r u e < / I s E x p a n d e d > < W i d t h > 2 0 0 < / W i d t h > < / a : V a l u e > < / a : K e y V a l u e O f D i a g r a m O b j e c t K e y a n y T y p e z b w N T n L X > < a : K e y V a l u e O f D i a g r a m O b j e c t K e y a n y T y p e z b w N T n L X > < a : K e y > < K e y > T a b l e s \ C O M M E R C I A L _ L O A N \ C o l u m n s \ V A L U A T I O N _ T Y P E < / K e y > < / a : K e y > < a : V a l u e   i : t y p e = " D i a g r a m D i s p l a y N o d e V i e w S t a t e " > < H e i g h t > 1 5 0 < / H e i g h t > < I s E x p a n d e d > t r u e < / I s E x p a n d e d > < W i d t h > 2 0 0 < / W i d t h > < / a : V a l u e > < / a : K e y V a l u e O f D i a g r a m O b j e c t K e y a n y T y p e z b w N T n L X > < a : K e y V a l u e O f D i a g r a m O b j e c t K e y a n y T y p e z b w N T n L X > < a : K e y > < K e y > T a b l e s \ C O M M E R C I A L _ L O A N \ C o l u m n s \ C O U N T R Y _ P R O P E R T Y < / K e y > < / a : K e y > < a : V a l u e   i : t y p e = " D i a g r a m D i s p l a y N o d e V i e w S t a t e " > < H e i g h t > 1 5 0 < / H e i g h t > < I s E x p a n d e d > t r u e < / I s E x p a n d e d > < W i d t h > 2 0 0 < / W i d t h > < / a : V a l u e > < / a : K e y V a l u e O f D i a g r a m O b j e c t K e y a n y T y p e z b w N T n L X > < a : K e y V a l u e O f D i a g r a m O b j e c t K e y a n y T y p e z b w N T n L X > < a : K e y > < K e y > T a b l e s \ C O M M E R C I A L _ L O A N \ C o l u m n s \ R E G I O N < / K e y > < / a : K e y > < a : V a l u e   i : t y p e = " D i a g r a m D i s p l a y N o d e V i e w S t a t e " > < H e i g h t > 1 5 0 < / H e i g h t > < I s E x p a n d e d > t r u e < / I s E x p a n d e d > < W i d t h > 2 0 0 < / W i d t h > < / a : V a l u e > < / a : K e y V a l u e O f D i a g r a m O b j e c t K e y a n y T y p e z b w N T n L X > < a : K e y V a l u e O f D i a g r a m O b j e c t K e y a n y T y p e z b w N T n L X > < a : K e y > < K e y > T a b l e s \ C O M M E R C I A L _ L O A N \ C o l u m n s \ P R O P E R T Y _ T Y P E < / K e y > < / a : K e y > < a : V a l u e   i : t y p e = " D i a g r a m D i s p l a y N o d e V i e w S t a t e " > < H e i g h t > 1 5 0 < / H e i g h t > < I s E x p a n d e d > t r u e < / I s E x p a n d e d > < W i d t h > 2 0 0 < / W i d t h > < / a : V a l u e > < / a : K e y V a l u e O f D i a g r a m O b j e c t K e y a n y T y p e z b w N T n L X > < a : K e y V a l u e O f D i a g r a m O b j e c t K e y a n y T y p e z b w N T n L X > < a : K e y > < K e y > T a b l e s \ C O M M E R C I A L _ L O A N \ C o l u m n s \ N B R _ O F _ P R O P E R T I E S < / K e y > < / a : K e y > < a : V a l u e   i : t y p e = " D i a g r a m D i s p l a y N o d e V i e w S t a t e " > < H e i g h t > 1 5 0 < / H e i g h t > < I s E x p a n d e d > t r u e < / I s E x p a n d e d > < W i d t h > 2 0 0 < / W i d t h > < / a : V a l u e > < / a : K e y V a l u e O f D i a g r a m O b j e c t K e y a n y T y p e z b w N T n L X > < a : K e y V a l u e O f D i a g r a m O b j e c t K e y a n y T y p e z b w N T n L X > < a : K e y > < K e y > T a b l e s \ C O M M E R C I A L _ L O A N \ C o l u m n s \ E L I G I B L E < / K e y > < / a : K e y > < a : V a l u e   i : t y p e = " D i a g r a m D i s p l a y N o d e V i e w S t a t e " > < H e i g h t > 1 5 0 < / H e i g h t > < I s E x p a n d e d > t r u e < / I s E x p a n d e d > < W i d t h > 2 0 0 < / W i d t h > < / a : V a l u e > < / a : K e y V a l u e O f D i a g r a m O b j e c t K e y a n y T y p e z b w N T n L X > < a : K e y V a l u e O f D i a g r a m O b j e c t K e y a n y T y p e z b w N T n L X > < a : K e y > < K e y > T a b l e s \ C O M M E R C I A L _ L O A N \ C o l u m n s \ P O S T A L _ C O D E < / K e y > < / a : K e y > < a : V a l u e   i : t y p e = " D i a g r a m D i s p l a y N o d e V i e w S t a t e " > < H e i g h t > 1 5 0 < / H e i g h t > < I s E x p a n d e d > t r u e < / I s E x p a n d e d > < W i d t h > 2 0 0 < / W i d t h > < / a : V a l u e > < / a : K e y V a l u e O f D i a g r a m O b j e c t K e y a n y T y p e z b w N T n L X > < a : K e y V a l u e O f D i a g r a m O b j e c t K e y a n y T y p e z b w N T n L X > < a : K e y > < K e y > T a b l e s \ C O M M E R C I A L _ L O A N \ C o l u m n s \ C O N S T R U C T I O N _ S T A G E < / K e y > < / a : K e y > < a : V a l u e   i : t y p e = " D i a g r a m D i s p l a y N o d e V i e w S t a t e " > < H e i g h t > 1 5 0 < / H e i g h t > < I s E x p a n d e d > t r u e < / I s E x p a n d e d > < W i d t h > 2 0 0 < / W i d t h > < / a : V a l u e > < / a : K e y V a l u e O f D i a g r a m O b j e c t K e y a n y T y p e z b w N T n L X > < / V i e w S t a t e s > < / D i a g r a m M a n a g e r . S e r i a l i z a b l e D i a g r a m > < D i a g r a m M a n a g e r . S e r i a l i z a b l e D i a g r a m > < A d a p t e r   i : t y p e = " M e a s u r e D i a g r a m S a n d b o x A d a p t e r " > < T a b l e N a m e > S T A G E _ F X _ R A T E 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 S T A G E _ F X _ R A T E 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 C o l u m n s \ W A E H R U N G < / K e y > < / D i a g r a m O b j e c t K e y > < D i a g r a m O b j e c t K e y > < K e y > C o l u m n s \ M I T T E L K U R S < / 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 C o l u m n s \ W A E H R U N G < / K e y > < / a : K e y > < a : V a l u e   i : t y p e = " M e a s u r e G r i d N o d e V i e w S t a t e " > < C o l u m n > 1 < / C o l u m n > < L a y e d O u t > t r u e < / L a y e d O u t > < / a : V a l u e > < / a : K e y V a l u e O f D i a g r a m O b j e c t K e y a n y T y p e z b w N T n L X > < a : K e y V a l u e O f D i a g r a m O b j e c t K e y a n y T y p e z b w N T n L X > < a : K e y > < K e y > C o l u m n s \ M I T T E L K U R S < / K e y > < / a : K e y > < a : V a l u e   i : t y p e = " M e a s u r e G r i d N o d e V i e w S t a t e " > < C o l u m n > 2 < / C o l u m n > < L a y e d O u t > t r u e < / L a y e d O u t > < / a : V a l u e > < / a : K e y V a l u e O f D i a g r a m O b j e c t K e y a n y T y p e z b w N T n L X > < / V i e w S t a t e s > < / D i a g r a m M a n a g e r . S e r i a l i z a b l e D i a g r a m > < D i a g r a m M a n a g e r . S e r i a l i z a b l e D i a g r a m > < A d a p t e r   i : t y p e = " M e a s u r e D i a g r a m S a n d b o x A d a p t e r " > < T a b l e N a m e > D a t a U p d a t e i n f o < / 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 D a t a U p d a t e i n f o < / 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 C o l u m n s \ S t i c h t a g < / K e y > < / D i a g r a m O b j e c t K e y > < D i a g r a m O b j e c t K e y > < K e y > C o l u m n s \ L e t z t e   A k t u a l i s i e r u n g < / 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 C o l u m n s \ S t i c h t a g < / K e y > < / a : K e y > < a : V a l u e   i : t y p e = " M e a s u r e G r i d N o d e V i e w S t a t e " > < L a y e d O u t > t r u e < / L a y e d O u t > < / a : V a l u e > < / a : K e y V a l u e O f D i a g r a m O b j e c t K e y a n y T y p e z b w N T n L X > < a : K e y V a l u e O f D i a g r a m O b j e c t K e y a n y T y p e z b w N T n L X > < a : K e y > < K e y > C o l u m n s \ L e t z t e   A k t u a l i s i e r u n g < / K e y > < / a : K e y > < a : V a l u e   i : t y p e = " M e a s u r e G r i d N o d e V i e w S t a t e " > < C o l u m n > 1 < / C o l u m n > < L a y e d O u t > t r u e < / L a y e d O u t > < / a : V a l u e > < / a : K e y V a l u e O f D i a g r a m O b j e c t K e y a n y T y p e z b w N T n L X > < / V i e w S t a t e s > < / D i a g r a m M a n a g e r . S e r i a l i z a b l e D i a g r a m > < D i a g r a m M a n a g e r . S e r i a l i z a b l e D i a g r a m > < A d a p t e r   i : t y p e = " M e a s u r e D i a g r a m S a n d b o x A d a p t e r " > < T a b l e N a m e > L O A N _ C A S H F L O W 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 L O A N _ C A S H F L O W 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 C o l u m n s \ K Z _ Z E S S I O N _ W I D M U N G < / K e y > < / D i a g r a m O b j e c t K e y > < D i a g r a m O b j e c t K e y > < K e y > C o l u m n s \ L O A N _ I N T E R E S T _ R A T E _ T Y P E < / K e y > < / D i a g r a m O b j e c t K e y > < D i a g r a m O b j e c t K e y > < K e y > C o l u m n s \ Q U A R T E R < / K e y > < / D i a g r a m O b j e c t K e y > < D i a g r a m O b j e c t K e y > < K e y > C o l u m n s \ P R I N C I P A L _ R E C E I V E D < / K e y > < / D i a g r a m O b j e c t K e y > < D i a g r a m O b j e c t K e y > < K e y > C o l u m n s \ I N T E R E S T _ R E C E I V E D 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 C o l u m n s \ K Z _ Z E S S I O N _ W I D M U N G < / K e y > < / a : K e y > < a : V a l u e   i : t y p e = " M e a s u r e G r i d N o d e V i e w S t a t e " > < C o l u m n > 2 < / C o l u m n > < L a y e d O u t > t r u e < / L a y e d O u t > < / a : V a l u e > < / a : K e y V a l u e O f D i a g r a m O b j e c t K e y a n y T y p e z b w N T n L X > < a : K e y V a l u e O f D i a g r a m O b j e c t K e y a n y T y p e z b w N T n L X > < a : K e y > < K e y > C o l u m n s \ L O A N _ I N T E R E S T _ R A T E _ T Y P E < / K e y > < / a : K e y > < a : V a l u e   i : t y p e = " M e a s u r e G r i d N o d e V i e w S t a t e " > < C o l u m n > 3 < / C o l u m n > < L a y e d O u t > t r u e < / L a y e d O u t > < / a : V a l u e > < / a : K e y V a l u e O f D i a g r a m O b j e c t K e y a n y T y p e z b w N T n L X > < a : K e y V a l u e O f D i a g r a m O b j e c t K e y a n y T y p e z b w N T n L X > < a : K e y > < K e y > C o l u m n s \ Q U A R T E R < / K e y > < / a : K e y > < a : V a l u e   i : t y p e = " M e a s u r e G r i d N o d e V i e w S t a t e " > < C o l u m n > 4 < / C o l u m n > < L a y e d O u t > t r u e < / L a y e d O u t > < / a : V a l u e > < / a : K e y V a l u e O f D i a g r a m O b j e c t K e y a n y T y p e z b w N T n L X > < a : K e y V a l u e O f D i a g r a m O b j e c t K e y a n y T y p e z b w N T n L X > < a : K e y > < K e y > C o l u m n s \ P R I N C I P A L _ R E C E I V E D < / K e y > < / a : K e y > < a : V a l u e   i : t y p e = " M e a s u r e G r i d N o d e V i e w S t a t e " > < C o l u m n > 5 < / C o l u m n > < L a y e d O u t > t r u e < / L a y e d O u t > < / a : V a l u e > < / a : K e y V a l u e O f D i a g r a m O b j e c t K e y a n y T y p e z b w N T n L X > < a : K e y V a l u e O f D i a g r a m O b j e c t K e y a n y T y p e z b w N T n L X > < a : K e y > < K e y > C o l u m n s \ I N T E R E S T _ R E C E I V E D < / K e y > < / a : K e y > < a : V a l u e   i : t y p e = " M e a s u r e G r i d N o d e V i e w S t a t e " > < C o l u m n > 6 < / C o l u m n > < L a y e d O u t > t r u e < / L a y e d O u t > < / a : V a l u e > < / a : K e y V a l u e O f D i a g r a m O b j e c t K e y a n y T y p e z b w N T n L X > < / V i e w S t a t e s > < / D i a g r a m M a n a g e r . S e r i a l i z a b l e D i a g r a m > < D i a g r a m M a n a g e r . S e r i a l i z a b l e D i a g r a m > < A d a p t e r   i : t y p e = " M e a s u r e D i a g r a m S a n d b o x A d a p t e r " > < T a b l e N a m e > C O V E R E D _ B O N D _ C A S H F L O W 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 C o l u m n s \ D S _ Z U O R D N U N G < / K e y > < / D i a g r a m O b j e c t K e y > < D i a g r a m O b j e c t K e y > < K e y > C o l u m n s \ B O N D _ I N T E R E S T _ R A T E _ T Y P E < / K e y > < / D i a g r a m O b j e c t K e y > < D i a g r a m O b j e c t K e y > < K e y > C o l u m n s \ Q U A R T E R < / K e y > < / D i a g r a m O b j e c t K e y > < D i a g r a m O b j e c t K e y > < K e y > C o l u m n s \ P R I N C I P A L _ P A I D < / K e y > < / D i a g r a m O b j e c t K e y > < D i a g r a m O b j e c t K e y > < K e y > C o l u m n s \ I N T E R E S T _ P A I D 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 C o l u m n s \ B O N D _ I N T E R E S T _ R A T E _ T Y P E < / K e y > < / a : K e y > < a : V a l u e   i : t y p e = " M e a s u r e G r i d N o d e V i e w S t a t e " > < C o l u m n > 2 < / C o l u m n > < L a y e d O u t > t r u e < / L a y e d O u t > < / a : V a l u e > < / a : K e y V a l u e O f D i a g r a m O b j e c t K e y a n y T y p e z b w N T n L X > < a : K e y V a l u e O f D i a g r a m O b j e c t K e y a n y T y p e z b w N T n L X > < a : K e y > < K e y > C o l u m n s \ Q U A R T E R < / K e y > < / a : K e y > < a : V a l u e   i : t y p e = " M e a s u r e G r i d N o d e V i e w S t a t e " > < C o l u m n > 3 < / C o l u m n > < L a y e d O u t > t r u e < / L a y e d O u t > < / a : V a l u e > < / a : K e y V a l u e O f D i a g r a m O b j e c t K e y a n y T y p e z b w N T n L X > < a : K e y V a l u e O f D i a g r a m O b j e c t K e y a n y T y p e z b w N T n L X > < a : K e y > < K e y > C o l u m n s \ P R I N C I P A L _ P A I D < / K e y > < / a : K e y > < a : V a l u e   i : t y p e = " M e a s u r e G r i d N o d e V i e w S t a t e " > < C o l u m n > 4 < / C o l u m n > < L a y e d O u t > t r u e < / L a y e d O u t > < / a : V a l u e > < / a : K e y V a l u e O f D i a g r a m O b j e c t K e y a n y T y p e z b w N T n L X > < a : K e y V a l u e O f D i a g r a m O b j e c t K e y a n y T y p e z b w N T n L X > < a : K e y > < K e y > C o l u m n s \ I N T E R E S T _ P A I D < / K e y > < / a : K e y > < a : V a l u e   i : t y p e = " M e a s u r e G r i d N o d e V i e w S t a t e " > < C o l u m n > 5 < / C o l u m n > < L a y e d O u t > t r u e < / L a y e d O u t > < / a : V a l u e > < / a : K e y V a l u e O f D i a g r a m O b j e c t K e y a n y T y p e z b w N T n L X > < / V i e w S t a t e s > < / D i a g r a m M a n a g e r . S e r i a l i z a b l e D i a g r a m > < D i a g r a m M a n a g e r . S e r i a l i z a b l e D i a g r a m > < A d a p t e r   i : t y p e = " M e a s u r e D i a g r a m S a n d b o x A d a p t e r " > < T a b l e N a m e > R E S I D E N T I A L _ L O A N 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 R E S I D E N T I A L _ L O A N 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 C o l u m n s \ K O N T O N U M M E R < / K e y > < / D i a g r a m O b j e c t K e y > < D i a g r a m O b j e c t K e y > < K e y > C o l u m n s \ S E G M E N T < / K e y > < / D i a g r a m O b j e c t K e y > < D i a g r a m O b j e c t K e y > < K e y > C o l u m n s \ S L I C E < / K e y > < / D i a g r a m O b j e c t K e y > < D i a g r a m O b j e c t K e y > < K e y > C o l u m n s \ L T V < / K e y > < / D i a g r a m O b j e c t K e y > < D i a g r a m O b j e c t K e y > < K e y > C o l u m n s \ L T V _ B U C K E T < / K e y > < / D i a g r a m O b j e c t K e y > < D i a g r a m O b j e c t K e y > < K e y > C o l u m n s \ K U N D E N N U M M E R < / K e y > < / D i a g r a m O b j e c t K e y > < D i a g r a m O b j e c t K e y > < K e y > C o l u m n s \ S E A S O N I N G < / K e y > < / D i a g r a m O b j e c t K e y > < D i a g r a m O b j e c t K e y > < K e y > C o l u m n s \ S E A S O N I N G _ B U C K E T < / K e y > < / D i a g r a m O b j e c t K e y > < D i a g r a m O b j e c t K e y > < K e y > C o l u m n s \ R E M A I N I N G _ T E R M < / K e y > < / D i a g r a m O b j e c t K e y > < D i a g r a m O b j e c t K e y > < K e y > C o l u m n s \ P U R P O S E _ T Y P E < / K e y > < / D i a g r a m O b j e c t K e y > < D i a g r a m O b j e c t K e y > < K e y > C o l u m n s \ I N T E R E S T _ P A Y M E N T _ F R E Q U E N C Y < / K e y > < / D i a g r a m O b j e c t K e y > < D i a g r a m O b j e c t K e y > < K e y > C o l u m n s \ P R I N C I P A L _ P A Y M E N T _ F R E Q U E N C Y < / K e y > < / D i a g r a m O b j e c t K e y > < D i a g r a m O b j e c t K e y > < K e y > C o l u m n s \ I N T E R E S T _ R A T E _ T Y P E < / K e y > < / D i a g r a m O b j e c t K e y > < D i a g r a m O b j e c t K e y > < K e y > C o l u m n s \ F I X E D _ I N T E R E S T _ R A T E < / K e y > < / D i a g r a m O b j e c t K e y > < D i a g r a m O b j e c t K e y > < K e y > C o l u m n s \ I N T E R E S T _ M A R G I N < / K e y > < / D i a g r a m O b j e c t K e y > < D i a g r a m O b j e c t K e y > < K e y > C o l u m n s \ E M P L O Y M E N T _ T Y P E < / K e y > < / D i a g r a m O b j e c t K e y > < D i a g r a m O b j e c t K e y > < K e y > C o l u m n s \ V E R Z U G S T A G E < / K e y > < / D i a g r a m O b j e c t K e y > < D i a g r a m O b j e c t K e y > < K e y > C o l u m n s \ R E G I O N S < / K e y > < / D i a g r a m O b j e c t K e y > < D i a g r a m O b j e c t K e y > < K e y > C o l u m n s \ N H G _ G U A R A N T E E D < / K e y > < / D i a g r a m O b j e c t K e y > < D i a g r a m O b j e c t K e y > < K e y > C o l u m n s \ P R O P E R T Y _ T Y P E < / K e y > < / D i a g r a m O b j e c t K e y > < D i a g r a m O b j e c t K e y > < K e y > C o l u m n s \ O C C U P A N C Y _ T Y P E < / K e y > < / D i a g r a m O b j e c t K e y > < D i a g r a m O b j e c t K e y > < K e y > C o l u m n s \ R E M A I N I N G _ F I X E D _ I N T E R E S T _ P E R I O D < / K e y > < / D i a g r a m O b j e c t K e y > < D i a g r a m O b j e c t K e y > < K e y > C o l u m n s \ N B R _ O F _ P R O P E R T I E S < / K e y > < / D i a g r a m O b j e c t K e y > < D i a g r a m O b j e c t K e y > < K e y > C o l u m n s \ P R I O R _ R A N K S _ S E C U R E D _ B Y _ P R O P E R T Y < / K e y > < / D i a g r a m O b j e c t K e y > < D i a g r a m O b j e c t K e y > < K e y > C o l u m n s \ S A L D O < / 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 C o l u m n s \ K O N T O N U M M E R < / K e y > < / a : K e y > < a : V a l u e   i : t y p e = " M e a s u r e G r i d N o d e V i e w S t a t e " > < C o l u m n > 2 < / C o l u m n > < L a y e d O u t > t r u e < / L a y e d O u t > < / a : V a l u e > < / a : K e y V a l u e O f D i a g r a m O b j e c t K e y a n y T y p e z b w N T n L X > < a : K e y V a l u e O f D i a g r a m O b j e c t K e y a n y T y p e z b w N T n L X > < a : K e y > < K e y > C o l u m n s \ S E G M E N T < / K e y > < / a : K e y > < a : V a l u e   i : t y p e = " M e a s u r e G r i d N o d e V i e w S t a t e " > < C o l u m n > 2 0 < / C o l u m n > < L a y e d O u t > t r u e < / L a y e d O u t > < / a : V a l u e > < / a : K e y V a l u e O f D i a g r a m O b j e c t K e y a n y T y p e z b w N T n L X > < a : K e y V a l u e O f D i a g r a m O b j e c t K e y a n y T y p e z b w N T n L X > < a : K e y > < K e y > C o l u m n s \ S L I C E < / K e y > < / a : K e y > < a : V a l u e   i : t y p e = " M e a s u r e G r i d N o d e V i e w S t a t e " > < C o l u m n > 3 < / C o l u m n > < L a y e d O u t > t r u e < / L a y e d O u t > < / a : V a l u e > < / a : K e y V a l u e O f D i a g r a m O b j e c t K e y a n y T y p e z b w N T n L X > < a : K e y V a l u e O f D i a g r a m O b j e c t K e y a n y T y p e z b w N T n L X > < a : K e y > < K e y > C o l u m n s \ L T V < / K e y > < / a : K e y > < a : V a l u e   i : t y p e = " M e a s u r e G r i d N o d e V i e w S t a t e " > < C o l u m n > 4 < / C o l u m n > < L a y e d O u t > t r u e < / L a y e d O u t > < / a : V a l u e > < / a : K e y V a l u e O f D i a g r a m O b j e c t K e y a n y T y p e z b w N T n L X > < a : K e y V a l u e O f D i a g r a m O b j e c t K e y a n y T y p e z b w N T n L X > < a : K e y > < K e y > C o l u m n s \ L T V _ B U C K E T < / K e y > < / a : K e y > < a : V a l u e   i : t y p e = " M e a s u r e G r i d N o d e V i e w S t a t e " > < C o l u m n > 5 < / C o l u m n > < L a y e d O u t > t r u e < / L a y e d O u t > < / a : V a l u e > < / a : K e y V a l u e O f D i a g r a m O b j e c t K e y a n y T y p e z b w N T n L X > < a : K e y V a l u e O f D i a g r a m O b j e c t K e y a n y T y p e z b w N T n L X > < a : K e y > < K e y > C o l u m n s \ K U N D E N N U M M E R < / K e y > < / a : K e y > < a : V a l u e   i : t y p e = " M e a s u r e G r i d N o d e V i e w S t a t e " > < C o l u m n > 6 < / C o l u m n > < L a y e d O u t > t r u e < / L a y e d O u t > < / a : V a l u e > < / a : K e y V a l u e O f D i a g r a m O b j e c t K e y a n y T y p e z b w N T n L X > < a : K e y V a l u e O f D i a g r a m O b j e c t K e y a n y T y p e z b w N T n L X > < a : K e y > < K e y > C o l u m n s \ S E A S O N I N G < / K e y > < / a : K e y > < a : V a l u e   i : t y p e = " M e a s u r e G r i d N o d e V i e w S t a t e " > < C o l u m n > 7 < / C o l u m n > < L a y e d O u t > t r u e < / L a y e d O u t > < / a : V a l u e > < / a : K e y V a l u e O f D i a g r a m O b j e c t K e y a n y T y p e z b w N T n L X > < a : K e y V a l u e O f D i a g r a m O b j e c t K e y a n y T y p e z b w N T n L X > < a : K e y > < K e y > C o l u m n s \ S E A S O N I N G _ B U C K E T < / K e y > < / a : K e y > < a : V a l u e   i : t y p e = " M e a s u r e G r i d N o d e V i e w S t a t e " > < C o l u m n > 8 < / C o l u m n > < L a y e d O u t > t r u e < / L a y e d O u t > < / a : V a l u e > < / a : K e y V a l u e O f D i a g r a m O b j e c t K e y a n y T y p e z b w N T n L X > < a : K e y V a l u e O f D i a g r a m O b j e c t K e y a n y T y p e z b w N T n L X > < a : K e y > < K e y > C o l u m n s \ R E M A I N I N G _ T E R M < / K e y > < / a : K e y > < a : V a l u e   i : t y p e = " M e a s u r e G r i d N o d e V i e w S t a t e " > < C o l u m n > 9 < / C o l u m n > < L a y e d O u t > t r u e < / L a y e d O u t > < / a : V a l u e > < / a : K e y V a l u e O f D i a g r a m O b j e c t K e y a n y T y p e z b w N T n L X > < a : K e y V a l u e O f D i a g r a m O b j e c t K e y a n y T y p e z b w N T n L X > < a : K e y > < K e y > C o l u m n s \ P U R P O S E _ T Y P E < / K e y > < / a : K e y > < a : V a l u e   i : t y p e = " M e a s u r e G r i d N o d e V i e w S t a t e " > < C o l u m n > 1 0 < / C o l u m n > < L a y e d O u t > t r u e < / L a y e d O u t > < / a : V a l u e > < / a : K e y V a l u e O f D i a g r a m O b j e c t K e y a n y T y p e z b w N T n L X > < a : K e y V a l u e O f D i a g r a m O b j e c t K e y a n y T y p e z b w N T n L X > < a : K e y > < K e y > C o l u m n s \ I N T E R E S T _ P A Y M E N T _ F R E Q U E N C Y < / K e y > < / a : K e y > < a : V a l u e   i : t y p e = " M e a s u r e G r i d N o d e V i e w S t a t e " > < C o l u m n > 1 1 < / C o l u m n > < L a y e d O u t > t r u e < / L a y e d O u t > < / a : V a l u e > < / a : K e y V a l u e O f D i a g r a m O b j e c t K e y a n y T y p e z b w N T n L X > < a : K e y V a l u e O f D i a g r a m O b j e c t K e y a n y T y p e z b w N T n L X > < a : K e y > < K e y > C o l u m n s \ P R I N C I P A L _ P A Y M E N T _ F R E Q U E N C Y < / 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 C o l u m n s \ F I X E D _ I N T E R E S T _ R A T E 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 C o l u m n s \ E M P L O Y M E N T _ T Y P E < / K e y > < / a : K e y > < a : V a l u e   i : t y p e = " M e a s u r e G r i d N o d e V i e w S t a t e " > < C o l u m n > 1 6 < / C o l u m n > < L a y e d O u t > t r u e < / L a y e d O u t > < / a : V a l u e > < / a : K e y V a l u e O f D i a g r a m O b j e c t K e y a n y T y p e z b w N T n L X > < a : K e y V a l u e O f D i a g r a m O b j e c t K e y a n y T y p e z b w N T n L X > < a : K e y > < K e y > C o l u m n s \ V E R Z U G S T A G E < / K e y > < / a : K e y > < a : V a l u e   i : t y p e = " M e a s u r e G r i d N o d e V i e w S t a t e " > < C o l u m n > 1 7 < / C o l u m n > < L a y e d O u t > t r u e < / L a y e d O u t > < / a : V a l u e > < / a : K e y V a l u e O f D i a g r a m O b j e c t K e y a n y T y p e z b w N T n L X > < a : K e y V a l u e O f D i a g r a m O b j e c t K e y a n y T y p e z b w N T n L X > < a : K e y > < K e y > C o l u m n s \ R E G I O N S < / K e y > < / a : K e y > < a : V a l u e   i : t y p e = " M e a s u r e G r i d N o d e V i e w S t a t e " > < C o l u m n > 1 8 < / C o l u m n > < L a y e d O u t > t r u e < / L a y e d O u t > < / a : V a l u e > < / a : K e y V a l u e O f D i a g r a m O b j e c t K e y a n y T y p e z b w N T n L X > < a : K e y V a l u e O f D i a g r a m O b j e c t K e y a n y T y p e z b w N T n L X > < a : K e y > < K e y > C o l u m n s \ N H G _ G U A R A N T E E D < / K e y > < / a : K e y > < a : V a l u e   i : t y p e = " M e a s u r e G r i d N o d e V i e w S t a t e " > < C o l u m n > 1 9 < / C o l u m n > < L a y e d O u t > t r u e < / L a y e d O u t > < / a : V a l u e > < / a : K e y V a l u e O f D i a g r a m O b j e c t K e y a n y T y p e z b w N T n L X > < a : K e y V a l u e O f D i a g r a m O b j e c t K e y a n y T y p e z b w N T n L X > < a : K e y > < K e y > C o l u m n s \ P R O P E R T Y _ T Y P E < / K e y > < / a : K e y > < a : V a l u e   i : t y p e = " M e a s u r e G r i d N o d e V i e w S t a t e " > < C o l u m n > 2 1 < / C o l u m n > < L a y e d O u t > t r u e < / L a y e d O u t > < / a : V a l u e > < / a : K e y V a l u e O f D i a g r a m O b j e c t K e y a n y T y p e z b w N T n L X > < a : K e y V a l u e O f D i a g r a m O b j e c t K e y a n y T y p e z b w N T n L X > < a : K e y > < K e y > C o l u m n s \ O C C U P A N C Y _ T Y P E < / K e y > < / a : K e y > < a : V a l u e   i : t y p e = " M e a s u r e G r i d N o d e V i e w S t a t e " > < C o l u m n > 2 2 < / C o l u m n > < L a y e d O u t > t r u e < / L a y e d O u t > < / a : V a l u e > < / a : K e y V a l u e O f D i a g r a m O b j e c t K e y a n y T y p e z b w N T n L X > < a : K e y V a l u e O f D i a g r a m O b j e c t K e y a n y T y p e z b w N T n L X > < a : K e y > < K e y > C o l u m n s \ R E M A I N I N G _ F I X E D _ I N T E R E S T _ P E R I O D < / K e y > < / a : K e y > < a : V a l u e   i : t y p e = " M e a s u r e G r i d N o d e V i e w S t a t e " > < C o l u m n > 2 3 < / C o l u m n > < L a y e d O u t > t r u e < / L a y e d O u t > < / a : V a l u e > < / a : K e y V a l u e O f D i a g r a m O b j e c t K e y a n y T y p e z b w N T n L X > < a : K e y V a l u e O f D i a g r a m O b j e c t K e y a n y T y p e z b w N T n L X > < a : K e y > < K e y > C o l u m n s \ N B R _ O F _ P R O P E R T I E S < / K e y > < / a : K e y > < a : V a l u e   i : t y p e = " M e a s u r e G r i d N o d e V i e w S t a t e " > < C o l u m n > 2 5 < / C o l u m n > < L a y e d O u t > t r u e < / L a y e d O u t > < / a : V a l u e > < / a : K e y V a l u e O f D i a g r a m O b j e c t K e y a n y T y p e z b w N T n L X > < a : K e y V a l u e O f D i a g r a m O b j e c t K e y a n y T y p e z b w N T n L X > < a : K e y > < K e y > C o l u m n s \ P R I O R _ R A N K S _ S E C U R E D _ B Y _ P R O P E R T Y < / K e y > < / a : K e y > < a : V a l u e   i : t y p e = " M e a s u r e G r i d N o d e V i e w S t a t e " > < C o l u m n > 2 6 < / C o l u m n > < L a y e d O u t > t r u e < / L a y e d O u t > < / a : V a l u e > < / a : K e y V a l u e O f D i a g r a m O b j e c t K e y a n y T y p e z b w N T n L X > < a : K e y V a l u e O f D i a g r a m O b j e c t K e y a n y T y p e z b w N T n L X > < a : K e y > < K e y > C o l u m n s \ S A L D O < / K e y > < / a : K e y > < a : V a l u e   i : t y p e = " M e a s u r e G r i d N o d e V i e w S t a t e " > < C o l u m n > 2 7 < / C o l u m n > < L a y e d O u t > t r u e < / L a y e d O u t > < / a : V a l u e > < / a : K e y V a l u e O f D i a g r a m O b j e c t K e y a n y T y p e z b w N T n L X > < a : K e y V a l u e O f D i a g r a m O b j e c t K e y a n y T y p e z b w N T n L X > < a : K e y > < K e y > C o l u m n s \ B E W E R T U N G _ C L E A N _ E U R < / K e y > < / a : K e y > < a : V a l u e   i : t y p e = " M e a s u r e G r i d N o d e V i e w S t a t e " > < C o l u m n > 2 4 < / C o l u m n > < L a y e d O u t > t r u e < / L a y e d O u t > < / a : V a l u e > < / a : K e y V a l u e O f D i a g r a m O b j e c t K e y a n y T y p e z b w N T n L X > < / V i e w S t a t e s > < / D i a g r a m M a n a g e r . S e r i a l i z a b l e D i a g r a m > < D i a g r a m M a n a g e r . S e r i a l i z a b l e D i a g r a m > < A d a p t e r   i : t y p e = " M e a s u r e D i a g r a m S a n d b o x A d a p t e r " > < T a b l e N a m e > C O V E R E D _ B O N D < / 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 C o l u m n s \ I S I N < / K e y > < / D i a g r a m O b j e c t K e y > < D i a g r a m O b j e c t K e y > < K e y > C o l u m n s \ D S _ Z U O R D N U N G < / K e y > < / D i a g r a m O b j e c t K e y > < D i a g r a m O b j e c t K e y > < K e y > C o l u m n s \ C U R R E N C Y < / K e y > < / D i a g r a m O b j e c t K e y > < D i a g r a m O b j e c t K e y > < K e y > C o l u m n s \ C U R R E N T _ B A L A N C E _ I N _ I S S U E D _ C U R R E N C Y < / K e y > < / D i a g r a m O b j e c t K e y > < D i a g r a m O b j e c t K e y > < K e y > C o l u m n s \ C U R R E N T _ B A L A N C E _ I N _ D E F A U L T _ C U R R E N C Y < / K e y > < / D i a g r a m O b j e c t K e y > < D i a g r a m O b j e c t K e y > < K e y > C o l u m n s \ E X P E C T E D _ M A T U R I T Y _ D A T E < / K e y > < / D i a g r a m O b j e c t K e y > < D i a g r a m O b j e c t K e y > < K e y > C o l u m n s \ E X T E N D E D _ M A T U R I T Y _ D A T E < / K e y > < / D i a g r a m O b j e c t K e y > < D i a g r a m O b j e c t K e y > < K e y > C o l u m n s \ N E X T _ I N T E R E S T _ P A Y M E N T _ D A T E < / K e y > < / D i a g r a m O b j e c t K e y > < D i a g r a m O b j e c t K e y > < K e y > C o l u m n s \ N E X T _ P R I N C I P A L _ P A Y M E N T _ D A T E < / K e y > < / D i a g r a m O b j e c t K e y > < D i a g r a m O b j e c t K e y > < K e y > C o l u m n s \ I N T E R E S T _ P A Y M E N T _ F R E Q U E N C Y < / K e y > < / D i a g r a m O b j e c t K e y > < D i a g r a m O b j e c t K e y > < K e y > C o l u m n s \ P R I N C I P A L _ P A Y M E N T _ F R E Q U E N C Y < / K e y > < / D i a g r a m O b j e c t K e y > < D i a g r a m O b j e c t K e y > < K e y > C o l u m n s \ P R I N C I P A L _ R E D E M P T I O N _ T Y P E < / K e y > < / D i a g r a m O b j e c t K e y > < D i a g r a m O b j e c t K e y > < K e y > C o l u m n s \ I N T E R E S T _ R A T E _ T Y P E < / K e y > < / D i a g r a m O b j e c t K e y > < D i a g r a m O b j e c t K e y > < K e y > C o l u m n s \ I N T E R E S T _ R A T E < / K e y > < / D i a g r a m O b j e c t K e y > < D i a g r a m O b j e c t K e y > < K e y > C o l u m n s \ I N T E R E S T _ M A R G I N < / K e y > < / D i a g r a m O b j e c t K e y > < D i a g r a m O b j e c t K e y > < K e y > C o l u m n s \ B A S I S _ R A T E < / K e y > < / D i a g r a m O b j e c t K e y > < D i a g r a m O b j e c t K e y > < K e y > C o l u m n s \ D A T E _ O F _ I S S U A N C E < / K e y > < / D i a g r a m O b j e c t K e y > < D i a g r a m O b j e c t K e y > < K e y > C o l u m n s \ S E R I E S _ N U M B E R < / K e y > < / D i a g r a m O b j e c t K e y > < D i a g r a m O b j e c t K e y > < K e y > C o l u m n s \ E S G _ B O N D < / K e y > < / D i a g r a m O b j e c t K e y > < D i a g r a m O b j e c t K e y > < K e y > C o l u m n s \ S T R U C T U R E D _ F E A T U R E S < / K e y > < / D i a g r a m O b j e c t K e y > < D i a g r a m O b j e c t K e y > < K e y > C o l u m n s \ P R I V A T E _ I S S U A N C E < / 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 C o l u m n s \ I S I N < / K e y > < / a : K e y > < a : V a l u e   i : t y p e = " M e a s u r e G r i d N o d e V i e w S t a t e " > < C o l u m n > 2 < / C o l u m n > < 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 C o l u m n s \ C U R R E N C Y < / K e y > < / a : K e y > < a : V a l u e   i : t y p e = " M e a s u r e G r i d N o d e V i e w S t a t e " > < C o l u m n > 3 < / C o l u m n > < L a y e d O u t > t r u e < / L a y e d O u t > < / a : V a l u e > < / a : K e y V a l u e O f D i a g r a m O b j e c t K e y a n y T y p e z b w N T n L X > < a : K e y V a l u e O f D i a g r a m O b j e c t K e y a n y T y p e z b w N T n L X > < a : K e y > < K e y > C o l u m n s \ C U R R E N T _ B A L A N C E _ I N _ I S S U E D _ C U R R E N C Y < / K e y > < / a : K e y > < a : V a l u e   i : t y p e = " M e a s u r e G r i d N o d e V i e w S t a t e " > < C o l u m n > 4 < / C o l u m n > < L a y e d O u t > t r u e < / L a y e d O u t > < / a : V a l u e > < / a : K e y V a l u e O f D i a g r a m O b j e c t K e y a n y T y p e z b w N T n L X > < a : K e y V a l u e O f D i a g r a m O b j e c t K e y a n y T y p e z b w N T n L X > < a : K e y > < K e y > C o l u m n s \ C U R R E N T _ B A L A N C E _ I N _ D E F A U L T _ C U R R E N C Y < / K e y > < / a : K e y > < a : V a l u e   i : t y p e = " M e a s u r e G r i d N o d e V i e w S t a t e " > < C o l u m n > 5 < / C o l u m n > < L a y e d O u t > t r u e < / L a y e d O u t > < / a : V a l u e > < / a : K e y V a l u e O f D i a g r a m O b j e c t K e y a n y T y p e z b w N T n L X > < a : K e y V a l u e O f D i a g r a m O b j e c t K e y a n y T y p e z b w N T n L X > < a : K e y > < K e y > C o l u m n s \ E X P E C T E D _ M A T U R I T Y _ D A T E < / K e y > < / a : K e y > < a : V a l u e   i : t y p e = " M e a s u r e G r i d N o d e V i e w S t a t e " > < C o l u m n > 6 < / C o l u m n > < L a y e d O u t > t r u e < / L a y e d O u t > < / a : V a l u e > < / a : K e y V a l u e O f D i a g r a m O b j e c t K e y a n y T y p e z b w N T n L X > < a : K e y V a l u e O f D i a g r a m O b j e c t K e y a n y T y p e z b w N T n L X > < a : K e y > < K e y > C o l u m n s \ E X T E N D E D _ M A T U R I T Y _ D A T E < / K e y > < / a : K e y > < a : V a l u e   i : t y p e = " M e a s u r e G r i d N o d e V i e w S t a t e " > < C o l u m n > 7 < / C o l u m n > < L a y e d O u t > t r u e < / L a y e d O u t > < / a : V a l u e > < / a : K e y V a l u e O f D i a g r a m O b j e c t K e y a n y T y p e z b w N T n L X > < a : K e y V a l u e O f D i a g r a m O b j e c t K e y a n y T y p e z b w N T n L X > < a : K e y > < K e y > C o l u m n s \ N E X T _ I N T E R E S T _ P A Y M E N T _ D A T E < / K e y > < / a : K e y > < a : V a l u e   i : t y p e = " M e a s u r e G r i d N o d e V i e w S t a t e " > < C o l u m n > 8 < / C o l u m n > < L a y e d O u t > t r u e < / L a y e d O u t > < / a : V a l u e > < / a : K e y V a l u e O f D i a g r a m O b j e c t K e y a n y T y p e z b w N T n L X > < a : K e y V a l u e O f D i a g r a m O b j e c t K e y a n y T y p e z b w N T n L X > < a : K e y > < K e y > C o l u m n s \ N E X T _ P R I N C I P A L _ P A Y M E N T _ D A T E < / K e y > < / a : K e y > < a : V a l u e   i : t y p e = " M e a s u r e G r i d N o d e V i e w S t a t e " > < C o l u m n > 9 < / C o l u m n > < L a y e d O u t > t r u e < / L a y e d O u t > < / a : V a l u e > < / a : K e y V a l u e O f D i a g r a m O b j e c t K e y a n y T y p e z b w N T n L X > < a : K e y V a l u e O f D i a g r a m O b j e c t K e y a n y T y p e z b w N T n L X > < a : K e y > < K e y > C o l u m n s \ I N T E R E S T _ P A Y M E N T _ F R E Q U E N C Y < / K e y > < / a : K e y > < a : V a l u e   i : t y p e = " M e a s u r e G r i d N o d e V i e w S t a t e " > < C o l u m n > 1 0 < / C o l u m n > < L a y e d O u t > t r u e < / L a y e d O u t > < / a : V a l u e > < / a : K e y V a l u e O f D i a g r a m O b j e c t K e y a n y T y p e z b w N T n L X > < a : K e y V a l u e O f D i a g r a m O b j e c t K e y a n y T y p e z b w N T n L X > < a : K e y > < K e y > C o l u m n s \ P R I N C I P A L _ P A Y M E N T _ F R E Q U E N C Y < / K e y > < / a : K e y > < a : V a l u e   i : t y p e = " M e a s u r e G r i d N o d e V i e w S t a t e " > < C o l u m n > 1 1 < / C o l u m n > < L a y e d O u t > t r u e < / L a y e d O u t > < / a : V a l u e > < / a : K e y V a l u e O f D i a g r a m O b j e c t K e y a n y T y p e z b w N T n L X > < a : K e y V a l u e O f D i a g r a m O b j e c t K e y a n y T y p e z b w N T n L X > < a : K e y > < K e y > C o l u m n s \ P R I N C I P A L _ R E D E M P T I O N _ T Y P E < / 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 C o l u m n s \ B A S I S _ R A T E < / K e y > < / a : K e y > < a : V a l u e   i : t y p e = " M e a s u r e G r i d N o d e V i e w S t a t e " > < C o l u m n > 1 6 < / C o l u m n > < L a y e d O u t > t r u e < / L a y e d O u t > < / a : V a l u e > < / a : K e y V a l u e O f D i a g r a m O b j e c t K e y a n y T y p e z b w N T n L X > < a : K e y V a l u e O f D i a g r a m O b j e c t K e y a n y T y p e z b w N T n L X > < a : K e y > < K e y > C o l u m n s \ D A T E _ O F _ I S S U A N C E < / K e y > < / a : K e y > < a : V a l u e   i : t y p e = " M e a s u r e G r i d N o d e V i e w S t a t e " > < C o l u m n > 1 7 < / C o l u m n > < L a y e d O u t > t r u e < / L a y e d O u t > < / a : V a l u e > < / a : K e y V a l u e O f D i a g r a m O b j e c t K e y a n y T y p e z b w N T n L X > < a : K e y V a l u e O f D i a g r a m O b j e c t K e y a n y T y p e z b w N T n L X > < a : K e y > < K e y > C o l u m n s \ S E R I E S _ N U M B E R < / K e y > < / a : K e y > < a : V a l u e   i : t y p e = " M e a s u r e G r i d N o d e V i e w S t a t e " > < C o l u m n > 1 8 < / C o l u m n > < L a y e d O u t > t r u e < / L a y e d O u t > < / a : V a l u e > < / a : K e y V a l u e O f D i a g r a m O b j e c t K e y a n y T y p e z b w N T n L X > < a : K e y V a l u e O f D i a g r a m O b j e c t K e y a n y T y p e z b w N T n L X > < a : K e y > < K e y > C o l u m n s \ E S G _ B O N D < / K e y > < / a : K e y > < a : V a l u e   i : t y p e = " M e a s u r e G r i d N o d e V i e w S t a t e " > < C o l u m n > 1 9 < / C o l u m n > < L a y e d O u t > t r u e < / L a y e d O u t > < / a : V a l u e > < / a : K e y V a l u e O f D i a g r a m O b j e c t K e y a n y T y p e z b w N T n L X > < a : K e y V a l u e O f D i a g r a m O b j e c t K e y a n y T y p e z b w N T n L X > < a : K e y > < K e y > C o l u m n s \ S T R U C T U R E D _ F E A T U R E S < / K e y > < / a : K e y > < a : V a l u e   i : t y p e = " M e a s u r e G r i d N o d e V i e w S t a t e " > < C o l u m n > 2 0 < / C o l u m n > < L a y e d O u t > t r u e < / L a y e d O u t > < / a : V a l u e > < / a : K e y V a l u e O f D i a g r a m O b j e c t K e y a n y T y p e z b w N T n L X > < a : K e y V a l u e O f D i a g r a m O b j e c t K e y a n y T y p e z b w N T n L X > < a : K e y > < K e y > C o l u m n s \ P R I V A T E _ I S S U A N C E < / K e y > < / a : K e y > < a : V a l u e   i : t y p e = " M e a s u r e G r i d N o d e V i e w S t a t e " > < C o l u m n > 2 1 < / C o l u m n > < L a y e d O u t > t r u e < / L a y e d O u t > < / a : V a l u e > < / a : K e y V a l u e O f D i a g r a m O b j e c t K e y a n y T y p e z b w N T n L X > < a : K e y V a l u e O f D i a g r a m O b j e c t K e y a n y T y p e z b w N T n L X > < a : K e y > < K e y > C o l u m n s \ B E W E R T U N G _ C L E A N _ E U R < / K e y > < / a : K e y > < a : V a l u e   i : t y p e = " M e a s u r e G r i d N o d e V i e w S t a t e " > < C o l u m n > 2 2 < / C o l u m n > < L a y e d O u t > t r u e < / L a y e d O u t > < / a : V a l u e > < / a : K e y V a l u e O f D i a g r a m O b j e c t K e y a n y T y p e z b w N T n L X > < / V i e w S t a t e s > < / D i a g r a m M a n a g e r . S e r i a l i z a b l e D i a g r a m > < D i a g r a m M a n a g e r . S e r i a l i z a b l e D i a g r a m > < A d a p t e r   i : t y p e = " M e a s u r e D i a g r a m S a n d b o x A d a p t e r " > < T a b l e N a m e > C O M M E R C I A L _ L O A N 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 C O M M E R C I A L _ L O A N 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 C o l u m n s \ L O A N _ I D < / K e y > < / D i a g r a m O b j e c t K e y > < D i a g r a m O b j e c t K e y > < K e y > C o l u m n s \ L O A N _ C U R R E N C Y < / K e y > < / D i a g r a m O b j e c t K e y > < D i a g r a m O b j e c t K e y > < K e y > C o l u m n s \ L O A N _ B A L A N C E _ 1 < / K e y > < / D i a g r a m O b j e c t K e y > < D i a g r a m O b j e c t K e y > < K e y > C o l u m n s \ L O A N _ B A L A N C E _ 2 < / K e y > < / D i a g r a m O b j e c t K e y > < D i a g r a m O b j e c t K e y > < K e y > C o l u m n s \ C O M M I T T E D _ F U R T H E R _ A D V A N C E < / K e y > < / D i a g r a m O b j e c t K e y > < D i a g r a m O b j e c t K e y > < K e y > C o l u m n s \ S C H E D U L E D _ L O A N _ B A L A N C E _ A T _ M A T U R I T Y _ 1 < / K e y > < / D i a g r a m O b j e c t K e y > < D i a g r a m O b j e c t K e y > < K e y > C o l u m n s \ S C H E D U L E D _ L O A N _ B A L A N C E _ A T _ M A T U R I T Y _ 2 < / K e y > < / D i a g r a m O b j e c t K e y > < D i a g r a m O b j e c t K e y > < K e y > C o l u m n s \ R E M A I N I N G _ T E R M _ I N _ M O N T H S < / K e y > < / D i a g r a m O b j e c t K e y > < D i a g r a m O b j e c t K e y > < K e y > C o l u m n s \ S C H E D U L E D _ M A T U R I T Y _ D A T E _ O N _ L O A N < / K e y > < / D i a g r a m O b j e c t K e y > < D i a g r a m O b j e c t K e y > < K e y > C o l u m n s \ S E A S O N I N G < / K e y > < / D i a g r a m O b j e c t K e y > < D i a g r a m O b j e c t K e y > < K e y > C o l u m n s \ L O A N _ O R I G I N A T I O N _ D A T E < / K e y > < / D i a g r a m O b j e c t K e y > < D i a g r a m O b j e c t K e y > < K e y > C o l u m n s \ W H O L E _ L T V < / K e y > < / D i a g r a m O b j e c t K e y > < D i a g r a m O b j e c t K e y > < K e y > C o l u m n s \ J U N I O R _ R A N K S < / K e y > < / D i a g r a m O b j e c t K e y > < D i a g r a m O b j e c t K e y > < K e y > C o l u m n s \ I N T E R E S T _ R A T E _ T Y P E < / K e y > < / D i a g r a m O b j e c t K e y > < D i a g r a m O b j e c t K e y > < K e y > C o l u m n s \ F I X E D _ I N T E R E S T _ R A T E < / K e y > < / D i a g r a m O b j e c t K e y > < D i a g r a m O b j e c t K e y > < K e y > C o l u m n s \ I N T E R E S T _ M A R G I N < / K e y > < / D i a g r a m O b j e c t K e y > < D i a g r a m O b j e c t K e y > < K e y > C o l u m n s \ B A S I S _ O R _ R E F E R E N C E _ R A T E < / K e y > < / D i a g r a m O b j e c t K e y > < D i a g r a m O b j e c t K e y > < K e y > C o l u m n s \ D S C R < / K e y > < / D i a g r a m O b j e c t K e y > < D i a g r a m O b j e c t K e y > < K e y > C o l u m n s \ P R I N C I P A L _ P A Y M E N T _ F R E Q U E N C Y < / K e y > < / D i a g r a m O b j e c t K e y > < D i a g r a m O b j e c t K e y > < K e y > C o l u m n s \ P R I N C I P A L _ R E P A Y M E N T _ M E T H O D < / K e y > < / D i a g r a m O b j e c t K e y > < D i a g r a m O b j e c t K e y > < K e y > C o l u m n s \ L O A N _ P E R F O R M I N G < / K e y > < / D i a g r a m O b j e c t K e y > < D i a g r a m O b j e c t K e y > < K e y > C o l u m n s \ D E B T O R _ I D < / K e y > < / D i a g r a m O b j e c t K e y > < D i a g r a m O b j e c t K e y > < K e y > C o l u m n s \ D E B T O R _ N A M E < / K e y > < / D i a g r a m O b j e c t K e y > < D i a g r a m O b j e c t K e y > < K e y > C o l u m n s \ D E B T O R _ T Y P E < / K e y > < / D i a g r a m O b j e c t K e y > < D i a g r a m O b j e c t K e y > < K e y > C o l u m n s \ R E C O U R S E _ T O _ B O R R O W E R < / K e y > < / D i a g r a m O b j e c t K e y > < D i a g r a m O b j e c t K e y > < K e y > C o l u m n s \ P R O P E R T Y _ I D < / K e y > < / D i a g r a m O b j e c t K e y > < D i a g r a m O b j e c t K e y > < K e y > C o l u m n s \ V A L U A T I O N _ O F _ P R O P E R T Y _ I N _ D E F A U L T _ C U R R E N C Y < / K e y > < / D i a g r a m O b j e c t K e y > < D i a g r a m O b j e c t K e y > < K e y > C o l u m n s \ V A L U A T I O N _ O F _ P R O P E R T Y _ I N _ C U R R E N C Y _ O F _ T H E _ L O A N < / K e y > < / D i a g r a m O b j e c t K e y > < D i a g r a m O b j e c t K e y > < K e y > C o l u m n s \ U P D A T E D _ V A L U A T I O N _ O F _ P R O P E R T Y < / K e y > < / D i a g r a m O b j e c t K e y > < D i a g r a m O b j e c t K e y > < K e y > C o l u m n s \ D A T E _ O F _ V A L U A T I O N _ U S E D _ F O R _ L T V < / K e y > < / D i a g r a m O b j e c t K e y > < D i a g r a m O b j e c t K e y > < K e y > C o l u m n s \ V A L U A T I O N _ T Y P E < / K e y > < / D i a g r a m O b j e c t K e y > < D i a g r a m O b j e c t K e y > < K e y > C o l u m n s \ C O U N T R Y _ P R O P E R T Y < / K e y > < / D i a g r a m O b j e c t K e y > < D i a g r a m O b j e c t K e y > < K e y > C o l u m n s \ R E G I O N < / K e y > < / D i a g r a m O b j e c t K e y > < D i a g r a m O b j e c t K e y > < K e y > C o l u m n s \ P R O P E R T Y _ T Y P E < / K e y > < / D i a g r a m O b j e c t K e y > < D i a g r a m O b j e c t K e y > < K e y > C o l u m n s \ N B R _ O F _ P R O P E R T I E S < / K e y > < / D i a g r a m O b j e c t K e y > < D i a g r a m O b j e c t K e y > < K e y > C o l u m n s \ E L I G I B L E < / K e y > < / D i a g r a m O b j e c t K e y > < D i a g r a m O b j e c t K e y > < K e y > C o l u m n s \ P O S T A L _ C O D E < / K e y > < / D i a g r a m O b j e c t K e y > < D i a g r a m O b j e c t K e y > < K e y > C o l u m n s \ R E M A I N I N G _ F I X E D _ I N T E R E S T _ P E R I O D < / K e y > < / D i a g r a m O b j e c t K e y > < D i a g r a m O b j e c t K e y > < K e y > C o l u m n s \ L O A N _ B A L A N C E _ 3 < / K e y > < / D i a g r a m O b j e c t K e y > < D i a g r a m O b j e c t K e y > < K e y > C o l u m n s \ L O A N _ B A L A N C E _ 4 < / K e y > < / D i a g r a m O b j e c t K e y > < D i a g r a m O b j e c t K e y > < K e y > C o l u m n s \ E L I G I B L E _ L T V < / K e y > < / D i a g r a m O b j e c t K e y > < D i a g r a m O b j e c t K e y > < K e y > C o l u m n s \ P R I O R _ R A N K S _ S E C U R E D _ B Y _ P R O P E R T Y _ B U C K E T S < / K e y > < / D i a g r a m O b j e c t K e y > < D i a g r a m O b j e c t K e y > < K e y > C o l u m n s \ P R I O R _ R A N K S _ S E C U R E D _ B Y _ P R O P E R T Y < / K e y > < / D i a g r a m O b j e c t K e y > < D i a g r a m O b j e c t K e y > < K e y > C o l u m n s \ S A L D O < / K e y > < / D i a g r a m O b j e c t K e y > < D i a g r a m O b j e c t K e y > < K e y > C o l u m n s \ B A S E L 2 _ S E G M E N T < / 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 C o l u m n s \ L O A N _ I D < / K e y > < / a : K e y > < a : V a l u e   i : t y p e = " M e a s u r e G r i d N o d e V i e w S t a t e " > < C o l u m n > 2 < / C o l u m n > < L a y e d O u t > t r u e < / L a y e d O u t > < / a : V a l u e > < / a : K e y V a l u e O f D i a g r a m O b j e c t K e y a n y T y p e z b w N T n L X > < a : K e y V a l u e O f D i a g r a m O b j e c t K e y a n y T y p e z b w N T n L X > < a : K e y > < K e y > C o l u m n s \ L O A N _ C U R R E N C Y < / K e y > < / a : K e y > < a : V a l u e   i : t y p e = " M e a s u r e G r i d N o d e V i e w S t a t e " > < C o l u m n > 3 < / C o l u m n > < L a y e d O u t > t r u e < / L a y e d O u t > < / a : V a l u e > < / a : K e y V a l u e O f D i a g r a m O b j e c t K e y a n y T y p e z b w N T n L X > < a : K e y V a l u e O f D i a g r a m O b j e c t K e y a n y T y p e z b w N T n L X > < a : K e y > < K e y > C o l u m n s \ L O A N _ B A L A N C E _ 1 < / K e y > < / a : K e y > < a : V a l u e   i : t y p e = " M e a s u r e G r i d N o d e V i e w S t a t e " > < C o l u m n > 4 < / C o l u m n > < L a y e d O u t > t r u e < / L a y e d O u t > < / a : V a l u e > < / a : K e y V a l u e O f D i a g r a m O b j e c t K e y a n y T y p e z b w N T n L X > < a : K e y V a l u e O f D i a g r a m O b j e c t K e y a n y T y p e z b w N T n L X > < a : K e y > < K e y > C o l u m n s \ L O A N _ B A L A N C E _ 2 < / K e y > < / a : K e y > < a : V a l u e   i : t y p e = " M e a s u r e G r i d N o d e V i e w S t a t e " > < C o l u m n > 5 < / C o l u m n > < L a y e d O u t > t r u e < / L a y e d O u t > < / a : V a l u e > < / a : K e y V a l u e O f D i a g r a m O b j e c t K e y a n y T y p e z b w N T n L X > < a : K e y V a l u e O f D i a g r a m O b j e c t K e y a n y T y p e z b w N T n L X > < a : K e y > < K e y > C o l u m n s \ C O M M I T T E D _ F U R T H E R _ A D V A N C E < / K e y > < / a : K e y > < a : V a l u e   i : t y p e = " M e a s u r e G r i d N o d e V i e w S t a t e " > < C o l u m n > 6 < / C o l u m n > < L a y e d O u t > t r u e < / L a y e d O u t > < / a : V a l u e > < / a : K e y V a l u e O f D i a g r a m O b j e c t K e y a n y T y p e z b w N T n L X > < a : K e y V a l u e O f D i a g r a m O b j e c t K e y a n y T y p e z b w N T n L X > < a : K e y > < K e y > C o l u m n s \ S C H E D U L E D _ L O A N _ B A L A N C E _ A T _ M A T U R I T Y _ 1 < / K e y > < / a : K e y > < a : V a l u e   i : t y p e = " M e a s u r e G r i d N o d e V i e w S t a t e " > < C o l u m n > 7 < / C o l u m n > < L a y e d O u t > t r u e < / L a y e d O u t > < / a : V a l u e > < / a : K e y V a l u e O f D i a g r a m O b j e c t K e y a n y T y p e z b w N T n L X > < a : K e y V a l u e O f D i a g r a m O b j e c t K e y a n y T y p e z b w N T n L X > < a : K e y > < K e y > C o l u m n s \ S C H E D U L E D _ L O A N _ B A L A N C E _ A T _ M A T U R I T Y _ 2 < / K e y > < / a : K e y > < a : V a l u e   i : t y p e = " M e a s u r e G r i d N o d e V i e w S t a t e " > < C o l u m n > 8 < / C o l u m n > < L a y e d O u t > t r u e < / L a y e d O u t > < / a : V a l u e > < / a : K e y V a l u e O f D i a g r a m O b j e c t K e y a n y T y p e z b w N T n L X > < a : K e y V a l u e O f D i a g r a m O b j e c t K e y a n y T y p e z b w N T n L X > < a : K e y > < K e y > C o l u m n s \ R E M A I N I N G _ T E R M _ I N _ M O N T H S < / K e y > < / a : K e y > < a : V a l u e   i : t y p e = " M e a s u r e G r i d N o d e V i e w S t a t e " > < C o l u m n > 9 < / C o l u m n > < L a y e d O u t > t r u e < / L a y e d O u t > < / a : V a l u e > < / a : K e y V a l u e O f D i a g r a m O b j e c t K e y a n y T y p e z b w N T n L X > < a : K e y V a l u e O f D i a g r a m O b j e c t K e y a n y T y p e z b w N T n L X > < a : K e y > < K e y > C o l u m n s \ S C H E D U L E D _ M A T U R I T Y _ D A T E _ O N _ L O A N < / K e y > < / a : K e y > < a : V a l u e   i : t y p e = " M e a s u r e G r i d N o d e V i e w S t a t e " > < C o l u m n > 1 0 < / C o l u m n > < L a y e d O u t > t r u e < / L a y e d O u t > < / a : V a l u e > < / a : K e y V a l u e O f D i a g r a m O b j e c t K e y a n y T y p e z b w N T n L X > < a : K e y V a l u e O f D i a g r a m O b j e c t K e y a n y T y p e z b w N T n L X > < a : K e y > < K e y > C o l u m n s \ S E A S O N I N G < / K e y > < / a : K e y > < a : V a l u e   i : t y p e = " M e a s u r e G r i d N o d e V i e w S t a t e " > < C o l u m n > 3 9 < / C o l u m n > < L a y e d O u t > t r u e < / L a y e d O u t > < / a : V a l u e > < / a : K e y V a l u e O f D i a g r a m O b j e c t K e y a n y T y p e z b w N T n L X > < a : K e y V a l u e O f D i a g r a m O b j e c t K e y a n y T y p e z b w N T n L X > < a : K e y > < K e y > C o l u m n s \ L O A N _ O R I G I N A T I O N _ D A T E < / K e y > < / a : K e y > < a : V a l u e   i : t y p e = " M e a s u r e G r i d N o d e V i e w S t a t e " > < C o l u m n > 1 1 < / C o l u m n > < L a y e d O u t > t r u e < / L a y e d O u t > < / a : V a l u e > < / a : K e y V a l u e O f D i a g r a m O b j e c t K e y a n y T y p e z b w N T n L X > < a : K e y V a l u e O f D i a g r a m O b j e c t K e y a n y T y p e z b w N T n L X > < a : K e y > < K e y > C o l u m n s \ W H O L E _ L T V < / K e y > < / a : K e y > < a : V a l u e   i : t y p e = " M e a s u r e G r i d N o d e V i e w S t a t e " > < C o l u m n > 1 2 < / C o l u m n > < L a y e d O u t > t r u e < / L a y e d O u t > < / a : V a l u e > < / a : K e y V a l u e O f D i a g r a m O b j e c t K e y a n y T y p e z b w N T n L X > < a : K e y V a l u e O f D i a g r a m O b j e c t K e y a n y T y p e z b w N T n L X > < a : K e y > < K e y > C o l u m n s \ J U N I O R _ R A N K S < / 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 C o l u m n s \ B A S I S _ O R _ R E F E R E N C E _ R A T E < / K e y > < / a : K e y > < a : V a l u e   i : t y p e = " M e a s u r e G r i d N o d e V i e w S t a t e " > < C o l u m n > 1 8 < / C o l u m n > < L a y e d O u t > t r u e < / L a y e d O u t > < / a : V a l u e > < / a : K e y V a l u e O f D i a g r a m O b j e c t K e y a n y T y p e z b w N T n L X > < a : K e y V a l u e O f D i a g r a m O b j e c t K e y a n y T y p e z b w N T n L X > < a : K e y > < K e y > C o l u m n s \ D S C R < / K e y > < / a : K e y > < a : V a l u e   i : t y p e = " M e a s u r e G r i d N o d e V i e w S t a t e " > < C o l u m n > 1 9 < / C o l u m n > < L a y e d O u t > t r u e < / L a y e d O u t > < / a : V a l u e > < / a : K e y V a l u e O f D i a g r a m O b j e c t K e y a n y T y p e z b w N T n L X > < a : K e y V a l u e O f D i a g r a m O b j e c t K e y a n y T y p e z b w N T n L X > < a : K e y > < K e y > C o l u m n s \ P R I N C I P A L _ P A Y M E N T _ F R E Q U E N C Y < / K e y > < / a : K e y > < a : V a l u e   i : t y p e = " M e a s u r e G r i d N o d e V i e w S t a t e " > < C o l u m n > 2 0 < / C o l u m n > < L a y e d O u t > t r u e < / L a y e d O u t > < / a : V a l u e > < / a : K e y V a l u e O f D i a g r a m O b j e c t K e y a n y T y p e z b w N T n L X > < a : K e y V a l u e O f D i a g r a m O b j e c t K e y a n y T y p e z b w N T n L X > < a : K e y > < K e y > C o l u m n s \ P R I N C I P A L _ R E P A Y M E N T _ M E T H O D < / K e y > < / a : K e y > < a : V a l u e   i : t y p e = " M e a s u r e G r i d N o d e V i e w S t a t e " > < C o l u m n > 2 1 < / C o l u m n > < L a y e d O u t > t r u e < / L a y e d O u t > < / a : V a l u e > < / a : K e y V a l u e O f D i a g r a m O b j e c t K e y a n y T y p e z b w N T n L X > < a : K e y V a l u e O f D i a g r a m O b j e c t K e y a n y T y p e z b w N T n L X > < a : K e y > < K e y > C o l u m n s \ L O A N _ P E R F O R M I N G < / K e y > < / a : K e y > < a : V a l u e   i : t y p e = " M e a s u r e G r i d N o d e V i e w S t a t e " > < C o l u m n > 2 2 < / C o l u m n > < L a y e d O u t > t r u e < / L a y e d O u t > < / a : V a l u e > < / a : K e y V a l u e O f D i a g r a m O b j e c t K e y a n y T y p e z b w N T n L X > < a : K e y V a l u e O f D i a g r a m O b j e c t K e y a n y T y p e z b w N T n L X > < a : K e y > < K e y > C o l u m n s \ D E B T O R _ I D < / K e y > < / a : K e y > < a : V a l u e   i : t y p e = " M e a s u r e G r i d N o d e V i e w S t a t e " > < C o l u m n > 2 3 < / C o l u m n > < L a y e d O u t > t r u e < / L a y e d O u t > < / a : V a l u e > < / a : K e y V a l u e O f D i a g r a m O b j e c t K e y a n y T y p e z b w N T n L X > < a : K e y V a l u e O f D i a g r a m O b j e c t K e y a n y T y p e z b w N T n L X > < a : K e y > < K e y > C o l u m n s \ D E B T O R _ N A M E < / K e y > < / a : K e y > < a : V a l u e   i : t y p e = " M e a s u r e G r i d N o d e V i e w S t a t e " > < C o l u m n > 2 4 < / C o l u m n > < L a y e d O u t > t r u e < / L a y e d O u t > < / a : V a l u e > < / a : K e y V a l u e O f D i a g r a m O b j e c t K e y a n y T y p e z b w N T n L X > < a : K e y V a l u e O f D i a g r a m O b j e c t K e y a n y T y p e z b w N T n L X > < a : K e y > < K e y > C o l u m n s \ D E B T O R _ T Y P E < / K e y > < / a : K e y > < a : V a l u e   i : t y p e = " M e a s u r e G r i d N o d e V i e w S t a t e " > < C o l u m n > 2 5 < / C o l u m n > < L a y e d O u t > t r u e < / L a y e d O u t > < / a : V a l u e > < / a : K e y V a l u e O f D i a g r a m O b j e c t K e y a n y T y p e z b w N T n L X > < a : K e y V a l u e O f D i a g r a m O b j e c t K e y a n y T y p e z b w N T n L X > < a : K e y > < K e y > C o l u m n s \ R E C O U R S E _ T O _ B O R R O W E R < / K e y > < / a : K e y > < a : V a l u e   i : t y p e = " M e a s u r e G r i d N o d e V i e w S t a t e " > < C o l u m n > 2 6 < / C o l u m n > < L a y e d O u t > t r u e < / L a y e d O u t > < / a : V a l u e > < / a : K e y V a l u e O f D i a g r a m O b j e c t K e y a n y T y p e z b w N T n L X > < a : K e y V a l u e O f D i a g r a m O b j e c t K e y a n y T y p e z b w N T n L X > < a : K e y > < K e y > C o l u m n s \ P R O P E R T Y _ I D < / K e y > < / a : K e y > < a : V a l u e   i : t y p e = " M e a s u r e G r i d N o d e V i e w S t a t e " > < C o l u m n > 2 7 < / C o l u m n > < L a y e d O u t > t r u e < / L a y e d O u t > < / a : V a l u e > < / a : K e y V a l u e O f D i a g r a m O b j e c t K e y a n y T y p e z b w N T n L X > < a : K e y V a l u e O f D i a g r a m O b j e c t K e y a n y T y p e z b w N T n L X > < a : K e y > < K e y > C o l u m n s \ V A L U A T I O N _ O F _ P R O P E R T Y _ I N _ D E F A U L T _ C U R R E N C Y < / K e y > < / a : K e y > < a : V a l u e   i : t y p e = " M e a s u r e G r i d N o d e V i e w S t a t e " > < C o l u m n > 2 8 < / C o l u m n > < L a y e d O u t > t r u e < / L a y e d O u t > < / a : V a l u e > < / a : K e y V a l u e O f D i a g r a m O b j e c t K e y a n y T y p e z b w N T n L X > < a : K e y V a l u e O f D i a g r a m O b j e c t K e y a n y T y p e z b w N T n L X > < a : K e y > < K e y > C o l u m n s \ V A L U A T I O N _ O F _ P R O P E R T Y _ I N _ C U R R E N C Y _ O F _ T H E _ L O A N < / K e y > < / a : K e y > < a : V a l u e   i : t y p e = " M e a s u r e G r i d N o d e V i e w S t a t e " > < C o l u m n > 2 9 < / C o l u m n > < L a y e d O u t > t r u e < / L a y e d O u t > < / a : V a l u e > < / a : K e y V a l u e O f D i a g r a m O b j e c t K e y a n y T y p e z b w N T n L X > < a : K e y V a l u e O f D i a g r a m O b j e c t K e y a n y T y p e z b w N T n L X > < a : K e y > < K e y > C o l u m n s \ U P D A T E D _ V A L U A T I O N _ O F _ P R O P E R T Y < / K e y > < / a : K e y > < a : V a l u e   i : t y p e = " M e a s u r e G r i d N o d e V i e w S t a t e " > < C o l u m n > 3 0 < / C o l u m n > < L a y e d O u t > t r u e < / L a y e d O u t > < / a : V a l u e > < / a : K e y V a l u e O f D i a g r a m O b j e c t K e y a n y T y p e z b w N T n L X > < a : K e y V a l u e O f D i a g r a m O b j e c t K e y a n y T y p e z b w N T n L X > < a : K e y > < K e y > C o l u m n s \ D A T E _ O F _ V A L U A T I O N _ U S E D _ F O R _ L T V < / K e y > < / a : K e y > < a : V a l u e   i : t y p e = " M e a s u r e G r i d N o d e V i e w S t a t e " > < C o l u m n > 3 1 < / C o l u m n > < L a y e d O u t > t r u e < / L a y e d O u t > < / a : V a l u e > < / a : K e y V a l u e O f D i a g r a m O b j e c t K e y a n y T y p e z b w N T n L X > < a : K e y V a l u e O f D i a g r a m O b j e c t K e y a n y T y p e z b w N T n L X > < a : K e y > < K e y > C o l u m n s \ V A L U A T I O N _ T Y P E < / K e y > < / a : K e y > < a : V a l u e   i : t y p e = " M e a s u r e G r i d N o d e V i e w S t a t e " > < C o l u m n > 3 2 < / C o l u m n > < L a y e d O u t > t r u e < / L a y e d O u t > < / a : V a l u e > < / a : K e y V a l u e O f D i a g r a m O b j e c t K e y a n y T y p e z b w N T n L X > < a : K e y V a l u e O f D i a g r a m O b j e c t K e y a n y T y p e z b w N T n L X > < a : K e y > < K e y > C o l u m n s \ C O U N T R Y _ P R O P E R T Y < / K e y > < / a : K e y > < a : V a l u e   i : t y p e = " M e a s u r e G r i d N o d e V i e w S t a t e " > < C o l u m n > 3 3 < / C o l u m n > < L a y e d O u t > t r u e < / L a y e d O u t > < / a : V a l u e > < / a : K e y V a l u e O f D i a g r a m O b j e c t K e y a n y T y p e z b w N T n L X > < a : K e y V a l u e O f D i a g r a m O b j e c t K e y a n y T y p e z b w N T n L X > < a : K e y > < K e y > C o l u m n s \ R E G I O N < / K e y > < / a : K e y > < a : V a l u e   i : t y p e = " M e a s u r e G r i d N o d e V i e w S t a t e " > < C o l u m n > 3 4 < / C o l u m n > < L a y e d O u t > t r u e < / L a y e d O u t > < / a : V a l u e > < / a : K e y V a l u e O f D i a g r a m O b j e c t K e y a n y T y p e z b w N T n L X > < a : K e y V a l u e O f D i a g r a m O b j e c t K e y a n y T y p e z b w N T n L X > < a : K e y > < K e y > C o l u m n s \ P R O P E R T Y _ T Y P E < / K e y > < / a : K e y > < a : V a l u e   i : t y p e = " M e a s u r e G r i d N o d e V i e w S t a t e " > < C o l u m n > 3 5 < / C o l u m n > < L a y e d O u t > t r u e < / L a y e d O u t > < / a : V a l u e > < / a : K e y V a l u e O f D i a g r a m O b j e c t K e y a n y T y p e z b w N T n L X > < a : K e y V a l u e O f D i a g r a m O b j e c t K e y a n y T y p e z b w N T n L X > < a : K e y > < K e y > C o l u m n s \ N B R _ O F _ P R O P E R T I E S < / K e y > < / a : K e y > < a : V a l u e   i : t y p e = " M e a s u r e G r i d N o d e V i e w S t a t e " > < C o l u m n > 3 6 < / C o l u m n > < L a y e d O u t > t r u e < / L a y e d O u t > < / a : V a l u e > < / a : K e y V a l u e O f D i a g r a m O b j e c t K e y a n y T y p e z b w N T n L X > < a : K e y V a l u e O f D i a g r a m O b j e c t K e y a n y T y p e z b w N T n L X > < a : K e y > < K e y > C o l u m n s \ E L I G I B L E < / K e y > < / a : K e y > < a : V a l u e   i : t y p e = " M e a s u r e G r i d N o d e V i e w S t a t e " > < C o l u m n > 3 7 < / C o l u m n > < L a y e d O u t > t r u e < / L a y e d O u t > < / a : V a l u e > < / a : K e y V a l u e O f D i a g r a m O b j e c t K e y a n y T y p e z b w N T n L X > < a : K e y V a l u e O f D i a g r a m O b j e c t K e y a n y T y p e z b w N T n L X > < a : K e y > < K e y > C o l u m n s \ P O S T A L _ C O D E < / K e y > < / a : K e y > < a : V a l u e   i : t y p e = " M e a s u r e G r i d N o d e V i e w S t a t e " > < C o l u m n > 3 8 < / C o l u m n > < L a y e d O u t > t r u e < / L a y e d O u t > < / a : V a l u e > < / a : K e y V a l u e O f D i a g r a m O b j e c t K e y a n y T y p e z b w N T n L X > < a : K e y V a l u e O f D i a g r a m O b j e c t K e y a n y T y p e z b w N T n L X > < a : K e y > < K e y > C o l u m n s \ R E M A I N I N G _ F I X E D _ I N T E R E S T _ P E R I O D < / K e y > < / a : K e y > < a : V a l u e   i : t y p e = " M e a s u r e G r i d N o d e V i e w S t a t e " > < C o l u m n > 4 0 < / C o l u m n > < L a y e d O u t > t r u e < / L a y e d O u t > < / a : V a l u e > < / a : K e y V a l u e O f D i a g r a m O b j e c t K e y a n y T y p e z b w N T n L X > < a : K e y V a l u e O f D i a g r a m O b j e c t K e y a n y T y p e z b w N T n L X > < a : K e y > < K e y > C o l u m n s \ L O A N _ B A L A N C E _ 3 < / K e y > < / a : K e y > < a : V a l u e   i : t y p e = " M e a s u r e G r i d N o d e V i e w S t a t e " > < C o l u m n > 4 2 < / C o l u m n > < L a y e d O u t > t r u e < / L a y e d O u t > < / a : V a l u e > < / a : K e y V a l u e O f D i a g r a m O b j e c t K e y a n y T y p e z b w N T n L X > < a : K e y V a l u e O f D i a g r a m O b j e c t K e y a n y T y p e z b w N T n L X > < a : K e y > < K e y > C o l u m n s \ L O A N _ B A L A N C E _ 4 < / K e y > < / a : K e y > < a : V a l u e   i : t y p e = " M e a s u r e G r i d N o d e V i e w S t a t e " > < C o l u m n > 4 3 < / C o l u m n > < L a y e d O u t > t r u e < / L a y e d O u t > < / a : V a l u e > < / a : K e y V a l u e O f D i a g r a m O b j e c t K e y a n y T y p e z b w N T n L X > < a : K e y V a l u e O f D i a g r a m O b j e c t K e y a n y T y p e z b w N T n L X > < a : K e y > < K e y > C o l u m n s \ E L I G I B L E _ L T V < / K e y > < / a : K e y > < a : V a l u e   i : t y p e = " M e a s u r e G r i d N o d e V i e w S t a t e " > < C o l u m n > 4 4 < / C o l u m n > < L a y e d O u t > t r u e < / L a y e d O u t > < / a : V a l u e > < / a : K e y V a l u e O f D i a g r a m O b j e c t K e y a n y T y p e z b w N T n L X > < a : K e y V a l u e O f D i a g r a m O b j e c t K e y a n y T y p e z b w N T n L X > < a : K e y > < K e y > C o l u m n s \ P R I O R _ R A N K S _ S E C U R E D _ B Y _ P R O P E R T Y _ B U C K E T S < / K e y > < / a : K e y > < a : V a l u e   i : t y p e = " M e a s u r e G r i d N o d e V i e w S t a t e " > < C o l u m n > 4 5 < / C o l u m n > < L a y e d O u t > t r u e < / L a y e d O u t > < / a : V a l u e > < / a : K e y V a l u e O f D i a g r a m O b j e c t K e y a n y T y p e z b w N T n L X > < a : K e y V a l u e O f D i a g r a m O b j e c t K e y a n y T y p e z b w N T n L X > < a : K e y > < K e y > C o l u m n s \ P R I O R _ R A N K S _ S E C U R E D _ B Y _ P R O P E R T Y < / K e y > < / a : K e y > < a : V a l u e   i : t y p e = " M e a s u r e G r i d N o d e V i e w S t a t e " > < C o l u m n > 1 3 < / C o l u m n > < L a y e d O u t > t r u e < / L a y e d O u t > < / a : V a l u e > < / a : K e y V a l u e O f D i a g r a m O b j e c t K e y a n y T y p e z b w N T n L X > < a : K e y V a l u e O f D i a g r a m O b j e c t K e y a n y T y p e z b w N T n L X > < a : K e y > < K e y > C o l u m n s \ S A L D O < / K e y > < / a : K e y > < a : V a l u e   i : t y p e = " M e a s u r e G r i d N o d e V i e w S t a t e " > < C o l u m n > 4 7 < / C o l u m n > < L a y e d O u t > t r u e < / L a y e d O u t > < / a : V a l u e > < / a : K e y V a l u e O f D i a g r a m O b j e c t K e y a n y T y p e z b w N T n L X > < a : K e y V a l u e O f D i a g r a m O b j e c t K e y a n y T y p e z b w N T n L X > < a : K e y > < K e y > C o l u m n s \ B A S E L 2 _ S E G M E N T < / K e y > < / a : K e y > < a : V a l u e   i : t y p e = " M e a s u r e G r i d N o d e V i e w S t a t e " > < C o l u m n > 4 6 < / C o l u m n > < L a y e d O u t > t r u e < / L a y e d O u t > < / a : V a l u e > < / a : K e y V a l u e O f D i a g r a m O b j e c t K e y a n y T y p e z b w N T n L X > < a : K e y V a l u e O f D i a g r a m O b j e c t K e y a n y T y p e z b w N T n L X > < a : K e y > < K e y > C o l u m n s \ B E W E R T U N G _ C L E A N _ E U R < / K e y > < / a : K e y > < a : V a l u e   i : t y p e = " M e a s u r e G r i d N o d e V i e w S t a t e " > < C o l u m n > 4 1 < / C o l u m n > < L a y e d O u t > t r u e < / L a y e d O u t > < / a : V a l u e > < / a : K e y V a l u e O f D i a g r a m O b j e c t K e y a n y T y p e z b w N T n L X > < / V i e w S t a t e s > < / D i a g r a m M a n a g e r . S e r i a l i z a b l e D i a g r a m > < D i a g r a m M a n a g e r . S e r i a l i z a b l e D i a g r a m > < A d a p t e r   i : t y p e = " M e a s u r e D i a g r a m S a n d b o x A d a p t e r " > < T a b l e N a m e > P U B L I C _ S E C T O R _ L O A N 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 P U B L I C _ S E C T O R _ L O A N 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 C o l u m n s \ D E B T O R _ N A M E < / K e y > < / D i a g r a m O b j e c t K e y > < D i a g r a m O b j e c t K e y > < K e y > C o l u m n s \ D E B T O R _ I D E N T I F I E R _ N U M B E R < / K e y > < / D i a g r a m O b j e c t K e y > < D i a g r a m O b j e c t K e y > < K e y > C o l u m n s \ T Y P E _ O F _ E X P O S U R E < / K e y > < / D i a g r a m O b j e c t K e y > < D i a g r a m O b j e c t K e y > < K e y > C o l u m n s \ D E B T O R _ C O U N T R Y < / K e y > < / D i a g r a m O b j e c t K e y > < D i a g r a m O b j e c t K e y > < K e y > C o l u m n s \ D E B T O R _ R E G I O N < / K e y > < / D i a g r a m O b j e c t K e y > < D i a g r a m O b j e c t K e y > < K e y > C o l u m n s \ L O A N _ I D E N T I F I E R _ N U M B E R < / K e y > < / D i a g r a m O b j e c t K e y > < D i a g r a m O b j e c t K e y > < K e y > C o l u m n s \ L O A N _ C U R R E N C Y < / K e y > < / D i a g r a m O b j e c t K e y > < D i a g r a m O b j e c t K e y > < K e y > C o l u m n s \ L O A N _ B A L A N C E _ 1 < / K e y > < / D i a g r a m O b j e c t K e y > < D i a g r a m O b j e c t K e y > < K e y > C o l u m n s \ L O A N _ B A L A N C E _ 2 < / K e y > < / D i a g r a m O b j e c t K e y > < D i a g r a m O b j e c t K e y > < K e y > C o l u m n s \ M A T U R I T Y _ D A T E < / K e y > < / D i a g r a m O b j e c t K e y > < D i a g r a m O b j e c t K e y > < K e y > C o l u m n s \ S E A S O N I N G < / K e y > < / D i a g r a m O b j e c t K e y > < D i a g r a m O b j e c t K e y > < K e y > C o l u m n s \ R E M A I N I N G _ T E R M < / K e y > < / D i a g r a m O b j e c t K e y > < D i a g r a m O b j e c t K e y > < K e y > C o l u m n s \ P R I N C I P A L _ R E P A Y M E N T _ M E T H O D < / K e y > < / D i a g r a m O b j e c t K e y > < D i a g r a m O b j e c t K e y > < K e y > C o l u m n s \ I N T E R E S T _ R A T E _ T Y P E < / K e y > < / D i a g r a m O b j e c t K e y > < D i a g r a m O b j e c t K e y > < K e y > C o l u m n s \ F I X E D _ I N T E R E S T _ R A T E < / K e y > < / D i a g r a m O b j e c t K e y > < D i a g r a m O b j e c t K e y > < K e y > C o l u m n s \ I N T E R E S T _ M A R G I N < / K e y > < / D i a g r a m O b j e c t K e y > < D i a g r a m O b j e c t K e y > < K e y > C o l u m n s \ B A S I S _ R A T E < / K e y > < / D i a g r a m O b j e c t K e y > < D i a g r a m O b j e c t K e y > < K e y > C o l u m n s \ E L I G I B L E _ F O R _ E C B _ O R _ C E N T R A L _ B A N K < / K e y > < / D i a g r a m O b j e c t K e y > < D i a g r a m O b j e c t K e y > < K e y > C o l u m n s \ L O A N _ P E R F O R M I N G < / K e y > < / D i a g r a m O b j e c t K e y > < D i a g r a m O b j e c t K e y > < K e y > C o l u m n s \ B A C K E D _ B Y _ M O R T G A G E < / K e y > < / D i a g r a m O b j e c t K e y > < D i a g r a m O b j e c t K e y > < K e y > C o l u m n s \ L T V < / K e y > < / D i a g r a m O b j e c t K e y > < D i a g r a m O b j e c t K e y > < K e y > C o l u m n s \ L A R G E S T _ G O V E R N M E N T _ G U A R A N T O R _ N A M E < / K e y > < / D i a g r a m O b j e c t K e y > < D i a g r a m O b j e c t K e y > < K e y > C o l u m n s \ L A R G E S T _ G O V E R N M E N T _ G U A R A N T O R _ I D E N T I F I E R _ N U M B E R < / K e y > < / D i a g r a m O b j e c t K e y > < D i a g r a m O b j e c t K e y > < K e y > C o l u m n s \ L A R G E S T _ G O V E R N M E N T _ G U A R A N T O R _ C O U N T R Y < / K e y > < / D i a g r a m O b j e c t K e y > < D i a g r a m O b j e c t K e y > < K e y > C o l u m n s \ L A R G E S T _ G O V E R N M E N T _ G U A R A N T O R _ R E G I O N < / K e y > < / D i a g r a m O b j e c t K e y > < D i a g r a m O b j e c t K e y > < K e y > C o l u m n s \ D E B T O R _ P O S T A L _ C O D E < / K e y > < / D i a g r a m O b j e c t K e y > < D i a g r a m O b j e c t K e y > < K e y > C o l u m n s \ L A R G E S T _ G O V E R N M E N T _ G U A R A N T O R _ P O S T A L _ C O D E < / K e y > < / D i a g r a m O b j e c t K e y > < D i a g r a m O b j e c t K e y > < K e y > C o l u m n s \ L A R G E S T _ G O V E R N M E N T _ G U A R A N T O R _ T Y P E < / K e y > < / D i a g r a m O b j e c t K e y > < D i a g r a m O b j e c t K e y > < K e y > C o l u m n s \ N B R _ O F _ G O V E R N M E N T _ G U A R A N T O R S < / K e y > < / D i a g r a m O b j e c t K e y > < D i a g r a m O b j e c t K e y > < K e y > C o l u m n s \ O W N E R S H I P _ P O S I T I O N < / K e y > < / D i a g r a m O b j e c t K e y > < D i a g r a m O b j e c t K e y > < K e y > C o l u m n s \ S E C T O R < / K e y > < / D i a g r a m O b j e c t K e y > < D i a g r a m O b j e c t K e y > < K e y > C o l u m n s \ R E M A I N I N G _ F I X E D _ I N T E R E S T _ P E R I O D < / 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 C o l u m n s \ D E B T O R _ N A M E < / K e y > < / a : K e y > < a : V a l u e   i : t y p e = " M e a s u r e G r i d N o d e V i e w S t a t e " > < C o l u m n > 2 < / C o l u m n > < L a y e d O u t > t r u e < / L a y e d O u t > < / a : V a l u e > < / a : K e y V a l u e O f D i a g r a m O b j e c t K e y a n y T y p e z b w N T n L X > < a : K e y V a l u e O f D i a g r a m O b j e c t K e y a n y T y p e z b w N T n L X > < a : K e y > < K e y > C o l u m n s \ D E B T O R _ I D E N T I F I E R _ N U M B E R < / K e y > < / a : K e y > < a : V a l u e   i : t y p e = " M e a s u r e G r i d N o d e V i e w S t a t e " > < C o l u m n > 3 < / C o l u m n > < L a y e d O u t > t r u e < / L a y e d O u t > < / a : V a l u e > < / a : K e y V a l u e O f D i a g r a m O b j e c t K e y a n y T y p e z b w N T n L X > < a : K e y V a l u e O f D i a g r a m O b j e c t K e y a n y T y p e z b w N T n L X > < a : K e y > < K e y > C o l u m n s \ T Y P E _ O F _ E X P O S U R E < / K e y > < / a : K e y > < a : V a l u e   i : t y p e = " M e a s u r e G r i d N o d e V i e w S t a t e " > < C o l u m n > 4 < / C o l u m n > < L a y e d O u t > t r u e < / L a y e d O u t > < / a : V a l u e > < / a : K e y V a l u e O f D i a g r a m O b j e c t K e y a n y T y p e z b w N T n L X > < a : K e y V a l u e O f D i a g r a m O b j e c t K e y a n y T y p e z b w N T n L X > < a : K e y > < K e y > C o l u m n s \ D E B T O R _ C O U N T R Y < / K e y > < / a : K e y > < a : V a l u e   i : t y p e = " M e a s u r e G r i d N o d e V i e w S t a t e " > < C o l u m n > 5 < / C o l u m n > < L a y e d O u t > t r u e < / L a y e d O u t > < / a : V a l u e > < / a : K e y V a l u e O f D i a g r a m O b j e c t K e y a n y T y p e z b w N T n L X > < a : K e y V a l u e O f D i a g r a m O b j e c t K e y a n y T y p e z b w N T n L X > < a : K e y > < K e y > C o l u m n s \ D E B T O R _ R E G I O N < / K e y > < / a : K e y > < a : V a l u e   i : t y p e = " M e a s u r e G r i d N o d e V i e w S t a t e " > < C o l u m n > 6 < / C o l u m n > < L a y e d O u t > t r u e < / L a y e d O u t > < / a : V a l u e > < / a : K e y V a l u e O f D i a g r a m O b j e c t K e y a n y T y p e z b w N T n L X > < a : K e y V a l u e O f D i a g r a m O b j e c t K e y a n y T y p e z b w N T n L X > < a : K e y > < K e y > C o l u m n s \ L O A N _ I D E N T I F I E R _ N U M B E R < / K e y > < / a : K e y > < a : V a l u e   i : t y p e = " M e a s u r e G r i d N o d e V i e w S t a t e " > < C o l u m n > 7 < / C o l u m n > < L a y e d O u t > t r u e < / L a y e d O u t > < / a : V a l u e > < / a : K e y V a l u e O f D i a g r a m O b j e c t K e y a n y T y p e z b w N T n L X > < a : K e y V a l u e O f D i a g r a m O b j e c t K e y a n y T y p e z b w N T n L X > < a : K e y > < K e y > C o l u m n s \ L O A N _ C U R R E N C Y < / K e y > < / a : K e y > < a : V a l u e   i : t y p e = " M e a s u r e G r i d N o d e V i e w S t a t e " > < C o l u m n > 8 < / C o l u m n > < L a y e d O u t > t r u e < / L a y e d O u t > < / a : V a l u e > < / a : K e y V a l u e O f D i a g r a m O b j e c t K e y a n y T y p e z b w N T n L X > < a : K e y V a l u e O f D i a g r a m O b j e c t K e y a n y T y p e z b w N T n L X > < a : K e y > < K e y > C o l u m n s \ L O A N _ B A L A N C E _ 1 < / K e y > < / a : K e y > < a : V a l u e   i : t y p e = " M e a s u r e G r i d N o d e V i e w S t a t e " > < C o l u m n > 9 < / C o l u m n > < L a y e d O u t > t r u e < / L a y e d O u t > < / a : V a l u e > < / a : K e y V a l u e O f D i a g r a m O b j e c t K e y a n y T y p e z b w N T n L X > < a : K e y V a l u e O f D i a g r a m O b j e c t K e y a n y T y p e z b w N T n L X > < a : K e y > < K e y > C o l u m n s \ L O A N _ B A L A N C E _ 2 < / K e y > < / a : K e y > < a : V a l u e   i : t y p e = " M e a s u r e G r i d N o d e V i e w S t a t e " > < C o l u m n > 1 0 < / C o l u m n > < L a y e d O u t > t r u e < / L a y e d O u t > < / a : V a l u e > < / a : K e y V a l u e O f D i a g r a m O b j e c t K e y a n y T y p e z b w N T n L X > < a : K e y V a l u e O f D i a g r a m O b j e c t K e y a n y T y p e z b w N T n L X > < a : K e y > < K e y > C o l u m n s \ M A T U R I T Y _ D A T E < / K e y > < / a : K e y > < a : V a l u e   i : t y p e = " M e a s u r e G r i d N o d e V i e w S t a t e " > < C o l u m n > 1 1 < / C o l u m n > < L a y e d O u t > t r u e < / L a y e d O u t > < / a : V a l u e > < / a : K e y V a l u e O f D i a g r a m O b j e c t K e y a n y T y p e z b w N T n L X > < a : K e y V a l u e O f D i a g r a m O b j e c t K e y a n y T y p e z b w N T n L X > < a : K e y > < K e y > C o l u m n s \ S E A S O N I N G < / K e y > < / a : K e y > < a : V a l u e   i : t y p e = " M e a s u r e G r i d N o d e V i e w S t a t e " > < C o l u m n > 1 2 < / C o l u m n > < L a y e d O u t > t r u e < / L a y e d O u t > < / a : V a l u e > < / a : K e y V a l u e O f D i a g r a m O b j e c t K e y a n y T y p e z b w N T n L X > < a : K e y V a l u e O f D i a g r a m O b j e c t K e y a n y T y p e z b w N T n L X > < a : K e y > < K e y > C o l u m n s \ R E M A I N I N G _ T E R M < / K e y > < / a : K e y > < a : V a l u e   i : t y p e = " M e a s u r e G r i d N o d e V i e w S t a t e " > < C o l u m n > 1 3 < / C o l u m n > < L a y e d O u t > t r u e < / L a y e d O u t > < / a : V a l u e > < / a : K e y V a l u e O f D i a g r a m O b j e c t K e y a n y T y p e z b w N T n L X > < a : K e y V a l u e O f D i a g r a m O b j e c t K e y a n y T y p e z b w N T n L X > < a : K e y > < K e y > C o l u m n s \ P R I N C I P A L _ R E P A Y M E N T _ M E T H O D < / 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 C o l u m n s \ B A S I S _ R A T E < / K e y > < / a : K e y > < a : V a l u e   i : t y p e = " M e a s u r e G r i d N o d e V i e w S t a t e " > < C o l u m n > 1 8 < / C o l u m n > < L a y e d O u t > t r u e < / L a y e d O u t > < / a : V a l u e > < / a : K e y V a l u e O f D i a g r a m O b j e c t K e y a n y T y p e z b w N T n L X > < a : K e y V a l u e O f D i a g r a m O b j e c t K e y a n y T y p e z b w N T n L X > < a : K e y > < K e y > C o l u m n s \ E L I G I B L E _ F O R _ E C B _ O R _ C E N T R A L _ B A N K < / K e y > < / a : K e y > < a : V a l u e   i : t y p e = " M e a s u r e G r i d N o d e V i e w S t a t e " > < C o l u m n > 1 9 < / C o l u m n > < L a y e d O u t > t r u e < / L a y e d O u t > < / a : V a l u e > < / a : K e y V a l u e O f D i a g r a m O b j e c t K e y a n y T y p e z b w N T n L X > < a : K e y V a l u e O f D i a g r a m O b j e c t K e y a n y T y p e z b w N T n L X > < a : K e y > < K e y > C o l u m n s \ L O A N _ P E R F O R M I N G < / K e y > < / a : K e y > < a : V a l u e   i : t y p e = " M e a s u r e G r i d N o d e V i e w S t a t e " > < C o l u m n > 2 0 < / C o l u m n > < L a y e d O u t > t r u e < / L a y e d O u t > < / a : V a l u e > < / a : K e y V a l u e O f D i a g r a m O b j e c t K e y a n y T y p e z b w N T n L X > < a : K e y V a l u e O f D i a g r a m O b j e c t K e y a n y T y p e z b w N T n L X > < a : K e y > < K e y > C o l u m n s \ B A C K E D _ B Y _ M O R T G A G E < / K e y > < / a : K e y > < a : V a l u e   i : t y p e = " M e a s u r e G r i d N o d e V i e w S t a t e " > < C o l u m n > 2 1 < / C o l u m n > < L a y e d O u t > t r u e < / L a y e d O u t > < / a : V a l u e > < / a : K e y V a l u e O f D i a g r a m O b j e c t K e y a n y T y p e z b w N T n L X > < a : K e y V a l u e O f D i a g r a m O b j e c t K e y a n y T y p e z b w N T n L X > < a : K e y > < K e y > C o l u m n s \ L T V < / K e y > < / a : K e y > < a : V a l u e   i : t y p e = " M e a s u r e G r i d N o d e V i e w S t a t e " > < C o l u m n > 2 2 < / C o l u m n > < L a y e d O u t > t r u e < / L a y e d O u t > < / a : V a l u e > < / a : K e y V a l u e O f D i a g r a m O b j e c t K e y a n y T y p e z b w N T n L X > < a : K e y V a l u e O f D i a g r a m O b j e c t K e y a n y T y p e z b w N T n L X > < a : K e y > < K e y > C o l u m n s \ L A R G E S T _ G O V E R N M E N T _ G U A R A N T O R _ N A M E < / K e y > < / a : K e y > < a : V a l u e   i : t y p e = " M e a s u r e G r i d N o d e V i e w S t a t e " > < C o l u m n > 2 3 < / C o l u m n > < L a y e d O u t > t r u e < / L a y e d O u t > < / a : V a l u e > < / a : K e y V a l u e O f D i a g r a m O b j e c t K e y a n y T y p e z b w N T n L X > < a : K e y V a l u e O f D i a g r a m O b j e c t K e y a n y T y p e z b w N T n L X > < a : K e y > < K e y > C o l u m n s \ L A R G E S T _ G O V E R N M E N T _ G U A R A N T O R _ I D E N T I F I E R _ N U M B E R < / K e y > < / a : K e y > < a : V a l u e   i : t y p e = " M e a s u r e G r i d N o d e V i e w S t a t e " > < C o l u m n > 2 4 < / C o l u m n > < L a y e d O u t > t r u e < / L a y e d O u t > < / a : V a l u e > < / a : K e y V a l u e O f D i a g r a m O b j e c t K e y a n y T y p e z b w N T n L X > < a : K e y V a l u e O f D i a g r a m O b j e c t K e y a n y T y p e z b w N T n L X > < a : K e y > < K e y > C o l u m n s \ L A R G E S T _ G O V E R N M E N T _ G U A R A N T O R _ C O U N T R Y < / K e y > < / a : K e y > < a : V a l u e   i : t y p e = " M e a s u r e G r i d N o d e V i e w S t a t e " > < C o l u m n > 2 5 < / C o l u m n > < L a y e d O u t > t r u e < / L a y e d O u t > < / a : V a l u e > < / a : K e y V a l u e O f D i a g r a m O b j e c t K e y a n y T y p e z b w N T n L X > < a : K e y V a l u e O f D i a g r a m O b j e c t K e y a n y T y p e z b w N T n L X > < a : K e y > < K e y > C o l u m n s \ L A R G E S T _ G O V E R N M E N T _ G U A R A N T O R _ R E G I O N < / K e y > < / a : K e y > < a : V a l u e   i : t y p e = " M e a s u r e G r i d N o d e V i e w S t a t e " > < C o l u m n > 2 6 < / C o l u m n > < L a y e d O u t > t r u e < / L a y e d O u t > < / a : V a l u e > < / a : K e y V a l u e O f D i a g r a m O b j e c t K e y a n y T y p e z b w N T n L X > < a : K e y V a l u e O f D i a g r a m O b j e c t K e y a n y T y p e z b w N T n L X > < a : K e y > < K e y > C o l u m n s \ D E B T O R _ P O S T A L _ C O D E < / K e y > < / a : K e y > < a : V a l u e   i : t y p e = " M e a s u r e G r i d N o d e V i e w S t a t e " > < C o l u m n > 2 7 < / C o l u m n > < L a y e d O u t > t r u e < / L a y e d O u t > < / a : V a l u e > < / a : K e y V a l u e O f D i a g r a m O b j e c t K e y a n y T y p e z b w N T n L X > < a : K e y V a l u e O f D i a g r a m O b j e c t K e y a n y T y p e z b w N T n L X > < a : K e y > < K e y > C o l u m n s \ L A R G E S T _ G O V E R N M E N T _ G U A R A N T O R _ P O S T A L _ C O D E < / K e y > < / a : K e y > < a : V a l u e   i : t y p e = " M e a s u r e G r i d N o d e V i e w S t a t e " > < C o l u m n > 2 8 < / C o l u m n > < L a y e d O u t > t r u e < / L a y e d O u t > < / a : V a l u e > < / a : K e y V a l u e O f D i a g r a m O b j e c t K e y a n y T y p e z b w N T n L X > < a : K e y V a l u e O f D i a g r a m O b j e c t K e y a n y T y p e z b w N T n L X > < a : K e y > < K e y > C o l u m n s \ L A R G E S T _ G O V E R N M E N T _ G U A R A N T O R _ T Y P E < / K e y > < / a : K e y > < a : V a l u e   i : t y p e = " M e a s u r e G r i d N o d e V i e w S t a t e " > < C o l u m n > 2 9 < / C o l u m n > < L a y e d O u t > t r u e < / L a y e d O u t > < / a : V a l u e > < / a : K e y V a l u e O f D i a g r a m O b j e c t K e y a n y T y p e z b w N T n L X > < a : K e y V a l u e O f D i a g r a m O b j e c t K e y a n y T y p e z b w N T n L X > < a : K e y > < K e y > C o l u m n s \ N B R _ O F _ G O V E R N M E N T _ G U A R A N T O R S < / K e y > < / a : K e y > < a : V a l u e   i : t y p e = " M e a s u r e G r i d N o d e V i e w S t a t e " > < C o l u m n > 3 0 < / C o l u m n > < L a y e d O u t > t r u e < / L a y e d O u t > < / a : V a l u e > < / a : K e y V a l u e O f D i a g r a m O b j e c t K e y a n y T y p e z b w N T n L X > < a : K e y V a l u e O f D i a g r a m O b j e c t K e y a n y T y p e z b w N T n L X > < a : K e y > < K e y > C o l u m n s \ O W N E R S H I P _ P O S I T I O N < / K e y > < / a : K e y > < a : V a l u e   i : t y p e = " M e a s u r e G r i d N o d e V i e w S t a t e " > < C o l u m n > 3 1 < / C o l u m n > < L a y e d O u t > t r u e < / L a y e d O u t > < / a : V a l u e > < / a : K e y V a l u e O f D i a g r a m O b j e c t K e y a n y T y p e z b w N T n L X > < a : K e y V a l u e O f D i a g r a m O b j e c t K e y a n y T y p e z b w N T n L X > < a : K e y > < K e y > C o l u m n s \ S E C T O R < / K e y > < / a : K e y > < a : V a l u e   i : t y p e = " M e a s u r e G r i d N o d e V i e w S t a t e " > < C o l u m n > 3 2 < / C o l u m n > < L a y e d O u t > t r u e < / L a y e d O u t > < / a : V a l u e > < / a : K e y V a l u e O f D i a g r a m O b j e c t K e y a n y T y p e z b w N T n L X > < a : K e y V a l u e O f D i a g r a m O b j e c t K e y a n y T y p e z b w N T n L X > < a : K e y > < K e y > C o l u m n s \ R E M A I N I N G _ F I X E D _ I N T E R E S T _ P E R I O D < / K e y > < / a : K e y > < a : V a l u e   i : t y p e = " M e a s u r e G r i d N o d e V i e w S t a t e " > < C o l u m n > 3 3 < / C o l u m n > < L a y e d O u t > t r u e < / L a y e d O u t > < / a : V a l u e > < / a : K e y V a l u e O f D i a g r a m O b j e c t K e y a n y T y p e z b w N T n L X > < a : K e y V a l u e O f D i a g r a m O b j e c t K e y a n y T y p e z b w N T n L X > < a : K e y > < K e y > C o l u m n s \ B E W E R T U N G _ C L E A N _ E U R < / K e y > < / a : K e y > < a : V a l u e   i : t y p e = " M e a s u r e G r i d N o d e V i e w S t a t e " > < C o l u m n > 3 4 < / C o l u m n > < L a y e d O u t > t r u e < / L a y e d O u t > < / a : V a l u e > < / a : K e y V a l u e O f D i a g r a m O b j e c t K e y a n y T y p e z b w N T n L X > < / V i e w S t a t e s > < / D i a g r a m M a n a g e r . S e r i a l i z a b l e D i a g r a m > < / A r r a y O f D i a g r a m M a n a g e r . S e r i a l i z a b l e D i a g r a m > ] ] > < / C u s t o m C o n t e n t > < / G e m i n i > 
</file>

<file path=customXml/item27.xml>��< ? x m l   v e r s i o n = " 1 . 0 "   e n c o d i n g = " U T F - 1 6 " ? > < G e m i n i   x m l n s = " h t t p : / / g e m i n i / p i v o t c u s t o m i z a t i o n / T a b l e X M L _ D a t a U p d a t e i n f o _ e 3 0 a 0 a 4 b - b f 1 3 - 4 d 0 6 - 8 3 3 d - f 2 5 8 b b e a 4 5 9 f " > < C u s t o m C o n t e n t > < ! [ C D A T A [ < T a b l e W i d g e t G r i d S e r i a l i z a t i o n   x m l n s : x s i = " h t t p : / / w w w . w 3 . o r g / 2 0 0 1 / X M L S c h e m a - i n s t a n c e "   x m l n s : x s d = " h t t p : / / w w w . w 3 . o r g / 2 0 0 1 / X M L S c h e m a " > < C o l u m n S u g g e s t e d T y p e   / > < C o l u m n F o r m a t   / > < C o l u m n A c c u r a c y   / > < C o l u m n C u r r e n c y S y m b o l   / > < C o l u m n P o s i t i v e P a t t e r n   / > < C o l u m n N e g a t i v e P a t t e r n   / > < C o l u m n W i d t h s > < i t e m > < k e y > < s t r i n g > S t i c h t a g < / s t r i n g > < / k e y > < v a l u e > < i n t > 8 4 < / i n t > < / v a l u e > < / i t e m > < i t e m > < k e y > < s t r i n g > L e t z t e   A k t u a l i s i e r u n g < / s t r i n g > < / k e y > < v a l u e > < i n t > 1 6 7 < / i n t > < / v a l u e > < / i t e m > < / C o l u m n W i d t h s > < C o l u m n D i s p l a y I n d e x > < i t e m > < k e y > < s t r i n g > S t i c h t a g < / s t r i n g > < / k e y > < v a l u e > < i n t > 0 < / i n t > < / v a l u e > < / i t e m > < i t e m > < k e y > < s t r i n g > L e t z t e   A k t u a l i s i e r u n g < / s t r i n g > < / k e y > < v a l u e > < i n t > 1 < / i n t > < / v a l u e > < / i t e m > < / C o l u m n D i s p l a y I n d e x > < C o l u m n F r o z e n   / > < C o l u m n C h e c k e d   / > < C o l u m n F i l t e r   / > < S e l e c t i o n F i l t e r   / > < F i l t e r P a r a m e t e r s   / > < I s S o r t D e s c e n d i n g > f a l s e < / I s S o r t D e s c e n d i n g > < / T a b l e W i d g e t G r i d S e r i a l i z a t i o n > ] ] > < / C u s t o m C o n t e n t > < / G e m i n i > 
</file>

<file path=customXml/item28.xml>��< ? x m l   v e r s i o n = " 1 . 0 "   e n c o d i n g = " U T F - 1 6 " ? > < G e m i n i   x m l n s = " h t t p : / / g e m i n i / p i v o t c u s t o m i z a t i o n / M a n u a l C a l c M o d e " > < C u s t o m C o n t e n t > < ! [ C D A T A [ F a l s e ] ] > < / C u s t o m C o n t e n t > < / G e m i n i > 
</file>

<file path=customXml/item3.xml>��< ? x m l   v e r s i o n = " 1 . 0 "   e n c o d i n g = " U T F - 1 6 " ? > < G e m i n i   x m l n s = " h t t p : / / g e m i n i / p i v o t c u s t o m i z a t i o n / T a b l e X M L _ C O V E R E D _ B O N D _ C A S H F L O W _ f b c c e 1 5 3 - 7 7 1 4 - 4 5 b 3 - 8 c 3 0 - 9 6 1 9 7 1 b 2 4 9 9 4 " > < C u s t o m C o n t e n t > < ! [ C D A T A [ < T a b l e W i d g e t G r i d S e r i a l i z a t i o n   x m l n s : x s d = " h t t p : / / w w w . w 3 . o r g / 2 0 0 1 / X M L S c h e m a "   x m l n s : x s i = " h t t p : / / w w w . w 3 . o r g / 2 0 0 1 / X M L S c h e m a - i n s t a n c e " > < C o l u m n S u g g e s t e d T y p e   / > < C o l u m n F o r m a t   / > < C o l u m n A c c u r a c y   / > < C o l u m n C u r r e n c y S y m b o l   / > < C o l u m n P o s i t i v e P a t t e r n   / > < C o l u m n N e g a t i v e P a t t e r n   / > < C o l u m n W i d t h s > < i t e m > < k e y > < s t r i n g > D A T U M < / s t r i n g > < / k e y > < v a l u e > < i n t > 8 1 < / i n t > < / v a l u e > < / i t e m > < i t e m > < k e y > < s t r i n g > D S _ Z U O R D N U N G < / s t r i n g > < / k e y > < v a l u e > < i n t > 1 4 0 < / i n t > < / v a l u e > < / i t e m > < i t e m > < k e y > < s t r i n g > B O N D _ I N T E R E S T _ R A T E _ T Y P E < / s t r i n g > < / k e y > < v a l u e > < i n t > 2 1 0 < / i n t > < / v a l u e > < / i t e m > < i t e m > < k e y > < s t r i n g > Q U A R T E R < / s t r i n g > < / k e y > < v a l u e > < i n t > 9 4 < / i n t > < / v a l u e > < / i t e m > < i t e m > < k e y > < s t r i n g > P R I N C I P A L _ P A I D < / s t r i n g > < / k e y > < v a l u e > < i n t > 1 3 6 < / i n t > < / v a l u e > < / i t e m > < i t e m > < k e y > < s t r i n g > I N T E R E S T _ P A I D < / s t r i n g > < / k e y > < v a l u e > < i n t > 1 2 9 < / i n t > < / v a l u e > < / i t e m > < / C o l u m n W i d t h s > < C o l u m n D i s p l a y I n d e x > < i t e m > < k e y > < s t r i n g > D A T U M < / s t r i n g > < / k e y > < v a l u e > < i n t > 0 < / i n t > < / v a l u e > < / i t e m > < i t e m > < k e y > < s t r i n g > D S _ Z U O R D N U N G < / s t r i n g > < / k e y > < v a l u e > < i n t > 1 < / i n t > < / v a l u e > < / i t e m > < i t e m > < k e y > < s t r i n g > B O N D _ I N T E R E S T _ R A T E _ T Y P E < / s t r i n g > < / k e y > < v a l u e > < i n t > 2 < / i n t > < / v a l u e > < / i t e m > < i t e m > < k e y > < s t r i n g > Q U A R T E R < / s t r i n g > < / k e y > < v a l u e > < i n t > 3 < / i n t > < / v a l u e > < / i t e m > < i t e m > < k e y > < s t r i n g > P R I N C I P A L _ P A I D < / s t r i n g > < / k e y > < v a l u e > < i n t > 4 < / i n t > < / v a l u e > < / i t e m > < i t e m > < k e y > < s t r i n g > I N T E R E S T _ P A I D < / s t r i n g > < / k e y > < v a l u e > < i n t > 5 < / 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T a b l e X M L _ T a b e l l e 1 " > < C u s t o m C o n t e n t > < ! [ C D A T A [ < T a b l e W i d g e t G r i d S e r i a l i z a t i o n   x m l n s : x s i = " h t t p : / / w w w . w 3 . o r g / 2 0 0 1 / X M L S c h e m a - i n s t a n c e "   x m l n s : x s d = " h t t p : / / w w w . w 3 . o r g / 2 0 0 1 / X M L S c h e m a " > < C o l u m n S u g g e s t e d T y p e   / > < C o l u m n F o r m a t   / > < C o l u m n A c c u r a c y   / > < C o l u m n C u r r e n c y S y m b o l   / > < C o l u m n P o s i t i v e P a t t e r n   / > < C o l u m n N e g a t i v e P a t t e r n   / > < C o l u m n W i d t h s > < i t e m > < k e y > < s t r i n g > a < / s t r i n g > < / k e y > < v a l u e > < i n t > 4 3 < / i n t > < / v a l u e > < / i t e m > < i t e m > < k e y > < s t r i n g > b < / s t r i n g > < / k e y > < v a l u e > < i n t > 4 4 < / i n t > < / v a l u e > < / i t e m > < / C o l u m n W i d t h s > < C o l u m n D i s p l a y I n d e x > < i t e m > < k e y > < s t r i n g > a < / s t r i n g > < / k e y > < v a l u e > < i n t > 0 < / i n t > < / v a l u e > < / i t e m > < i t e m > < k e y > < s t r i n g > b < / s t r i n g > < / k e y > < v a l u e > < i n t > 1 < / 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T a b l e X M L _ P U B L I C _ S E C T O R _ L O A N _ 4 f 9 0 7 e 3 9 - 7 a c 1 - 4 7 d 5 - 8 c 0 0 - e 5 0 4 c 0 e 3 c f e 6 " > < 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 D E B T O R _ N A M E < / s t r i n g > < / k e y > < v a l u e > < i n t > 1 3 0 < / i n t > < / v a l u e > < / i t e m > < i t e m > < k e y > < s t r i n g > D E B T O R _ I D E N T I F I E R _ N U M B E R < / s t r i n g > < / k e y > < v a l u e > < i n t > 2 2 0 < / i n t > < / v a l u e > < / i t e m > < i t e m > < k e y > < s t r i n g > T Y P E _ O F _ E X P O S U R E < / s t r i n g > < / k e y > < v a l u e > < i n t > 1 6 0 < / i n t > < / v a l u e > < / i t e m > < i t e m > < k e y > < s t r i n g > D E B T O R _ C O U N T R Y < / s t r i n g > < / k e y > < v a l u e > < i n t > 1 5 1 < / i n t > < / v a l u e > < / i t e m > < i t e m > < k e y > < s t r i n g > D E B T O R _ R E G I O N < / s t r i n g > < / k e y > < v a l u e > < i n t > 1 4 0 < / i n t > < / v a l u e > < / i t e m > < i t e m > < k e y > < s t r i n g > L O A N _ I D E N T I F I E R _ N U M B E R < / s t r i n g > < / k e y > < v a l u e > < i n t > 2 0 6 < / i n t > < / v a l u e > < / i t e m > < i t e m > < k e y > < s t r i n g > L O A N _ C U R R E N C Y < / s t r i n g > < / k e y > < v a l u e > < i n t > 1 4 3 < / i n t > < / v a l u e > < / i t e m > < i t e m > < k e y > < s t r i n g > L O A N _ B A L A N C E _ 1 < / s t r i n g > < / k e y > < v a l u e > < i n t > 1 4 9 < / i n t > < / v a l u e > < / i t e m > < i t e m > < k e y > < s t r i n g > L O A N _ B A L A N C E _ 2 < / s t r i n g > < / k e y > < v a l u e > < i n t > 1 4 9 < / i n t > < / v a l u e > < / i t e m > < i t e m > < k e y > < s t r i n g > M A T U R I T Y _ D A T E < / s t r i n g > < / k e y > < v a l u e > < i n t > 1 3 6 < / i n t > < / v a l u e > < / i t e m > < i t e m > < k e y > < s t r i n g > S E A S O N I N G < / s t r i n g > < / k e y > < v a l u e > < i n t > 1 0 9 < / i n t > < / v a l u e > < / i t e m > < i t e m > < k e y > < s t r i n g > R E M A I N I N G _ T E R M < / s t r i n g > < / k e y > < v a l u e > < i n t > 1 5 0 < / i n t > < / v a l u e > < / i t e m > < i t e m > < k e y > < s t r i n g > P R I N C I P A L _ R E P A Y M E N T _ M E T H O D < / s t r i n g > < / k e y > < v a l u e > < i n t > 2 4 2 < / i n t > < / v a l u e > < / i t e m > < i t e m > < k e y > < s t r i n g > I N T E R E S T _ R A T E _ T Y P E < / s t r i n g > < / k e y > < v a l u e > < i n t > 1 6 6 < / i n t > < / v a l u e > < / i t e m > < i t e m > < k e y > < s t r i n g > F I X E D _ I N T E R E S T _ R A T E < / s t r i n g > < / k e y > < v a l u e > < i n t > 1 7 2 < / i n t > < / v a l u e > < / i t e m > < i t e m > < k e y > < s t r i n g > I N T E R E S T _ M A R G I N < / s t r i n g > < / k e y > < v a l u e > < i n t > 1 5 2 < / i n t > < / v a l u e > < / i t e m > < i t e m > < k e y > < s t r i n g > B A S I S _ R A T E < / s t r i n g > < / k e y > < v a l u e > < i n t > 1 0 8 < / i n t > < / v a l u e > < / i t e m > < i t e m > < k e y > < s t r i n g > E L I G I B L E _ F O R _ E C B _ O R _ C E N T R A L _ B A N K < / s t r i n g > < / k e y > < v a l u e > < i n t > 2 7 8 < / i n t > < / v a l u e > < / i t e m > < i t e m > < k e y > < s t r i n g > L O A N _ P E R F O R M I N G < / s t r i n g > < / k e y > < v a l u e > < i n t > 1 6 1 < / i n t > < / v a l u e > < / i t e m > < i t e m > < k e y > < s t r i n g > B A C K E D _ B Y _ M O R T G A G E < / s t r i n g > < / k e y > < v a l u e > < i n t > 1 8 5 < / i n t > < / v a l u e > < / i t e m > < i t e m > < k e y > < s t r i n g > L T V < / s t r i n g > < / k e y > < v a l u e > < i n t > 5 7 < / i n t > < / v a l u e > < / i t e m > < i t e m > < k e y > < s t r i n g > L A R G E S T _ G O V E R N M E N T _ G U A R A N T O R _ N A M E < / s t r i n g > < / k e y > < v a l u e > < i n t > 3 1 6 < / i n t > < / v a l u e > < / i t e m > < i t e m > < k e y > < s t r i n g > L A R G E S T _ G O V E R N M E N T _ G U A R A N T O R _ I D E N T I F I E R _ N U M B E R < / s t r i n g > < / k e y > < v a l u e > < i n t > 4 0 6 < / i n t > < / v a l u e > < / i t e m > < i t e m > < k e y > < s t r i n g > L A R G E S T _ G O V E R N M E N T _ G U A R A N T O R _ C O U N T R Y < / s t r i n g > < / k e y > < v a l u e > < i n t > 3 3 7 < / i n t > < / v a l u e > < / i t e m > < i t e m > < k e y > < s t r i n g > L A R G E S T _ G O V E R N M E N T _ G U A R A N T O R _ R E G I O N < / s t r i n g > < / k e y > < v a l u e > < i n t > 3 2 6 < / i n t > < / v a l u e > < / i t e m > < i t e m > < k e y > < s t r i n g > D E B T O R _ P O S T A L _ C O D E < / s t r i n g > < / k e y > < v a l u e > < i n t > 1 7 9 < / i n t > < / v a l u e > < / i t e m > < i t e m > < k e y > < s t r i n g > L A R G E S T _ G O V E R N M E N T _ G U A R A N T O R _ P O S T A L _ C O D E < / s t r i n g > < / k e y > < v a l u e > < i n t > 3 6 5 < / i n t > < / v a l u e > < / i t e m > < i t e m > < k e y > < s t r i n g > L A R G E S T _ G O V E R N M E N T _ G U A R A N T O R _ T Y P E < / s t r i n g > < / k e y > < v a l u e > < i n t > 3 0 7 < / i n t > < / v a l u e > < / i t e m > < i t e m > < k e y > < s t r i n g > N B R _ O F _ G O V E R N M E N T _ G U A R A N T O R S < / s t r i n g > < / k e y > < v a l u e > < i n t > 2 7 5 < / i n t > < / v a l u e > < / i t e m > < i t e m > < k e y > < s t r i n g > O W N E R S H I P _ P O S I T I O N < / s t r i n g > < / k e y > < v a l u e > < i n t > 1 7 9 < / i n t > < / v a l u e > < / i t e m > < i t e m > < k e y > < s t r i n g > S E C T O R < / s t r i n g > < / k e y > < v a l u e > < i n t > 8 3 < / i n t > < / v a l u e > < / i t e m > < i t e m > < k e y > < s t r i n g > R E M A I N I N G _ F I X E D _ I N T E R E S T _ P E R I O D < / s t r i n g > < / k e y > < v a l u e > < i n t > 2 6 8 < / i n t > < / v a l u e > < / i t e m > < i t e m > < k e y > < s t r i n g > B E W E R T U N G _ C L E A N _ E U R < / s t r i n g > < / k e y > < v a l u e > < i n t > 1 9 2 < / i n t > < / v a l u e > < / i t e m > < / C o l u m n W i d t h s > < C o l u m n D i s p l a y I n d e x > < i t e m > < k e y > < s t r i n g > D A T U M < / s t r i n g > < / k e y > < v a l u e > < i n t > 0 < / i n t > < / v a l u e > < / i t e m > < i t e m > < k e y > < s t r i n g > I N S T I T U T S Z U O R D N U N G < / s t r i n g > < / k e y > < v a l u e > < i n t > 1 < / i n t > < / v a l u e > < / i t e m > < i t e m > < k e y > < s t r i n g > D E B T O R _ N A M E < / s t r i n g > < / k e y > < v a l u e > < i n t > 2 < / i n t > < / v a l u e > < / i t e m > < i t e m > < k e y > < s t r i n g > D E B T O R _ I D E N T I F I E R _ N U M B E R < / s t r i n g > < / k e y > < v a l u e > < i n t > 3 < / i n t > < / v a l u e > < / i t e m > < i t e m > < k e y > < s t r i n g > T Y P E _ O F _ E X P O S U R E < / s t r i n g > < / k e y > < v a l u e > < i n t > 4 < / i n t > < / v a l u e > < / i t e m > < i t e m > < k e y > < s t r i n g > D E B T O R _ C O U N T R Y < / s t r i n g > < / k e y > < v a l u e > < i n t > 5 < / i n t > < / v a l u e > < / i t e m > < i t e m > < k e y > < s t r i n g > D E B T O R _ R E G I O N < / s t r i n g > < / k e y > < v a l u e > < i n t > 6 < / i n t > < / v a l u e > < / i t e m > < i t e m > < k e y > < s t r i n g > L O A N _ I D E N T I F I E R _ N U M B E R < / s t r i n g > < / k e y > < v a l u e > < i n t > 7 < / i n t > < / v a l u e > < / i t e m > < i t e m > < k e y > < s t r i n g > L O A N _ C U R R E N C Y < / s t r i n g > < / k e y > < v a l u e > < i n t > 8 < / i n t > < / v a l u e > < / i t e m > < i t e m > < k e y > < s t r i n g > L O A N _ B A L A N C E _ 1 < / s t r i n g > < / k e y > < v a l u e > < i n t > 9 < / i n t > < / v a l u e > < / i t e m > < i t e m > < k e y > < s t r i n g > L O A N _ B A L A N C E _ 2 < / s t r i n g > < / k e y > < v a l u e > < i n t > 1 0 < / i n t > < / v a l u e > < / i t e m > < i t e m > < k e y > < s t r i n g > M A T U R I T Y _ D A T E < / s t r i n g > < / k e y > < v a l u e > < i n t > 1 1 < / i n t > < / v a l u e > < / i t e m > < i t e m > < k e y > < s t r i n g > S E A S O N I N G < / s t r i n g > < / k e y > < v a l u e > < i n t > 1 2 < / i n t > < / v a l u e > < / i t e m > < i t e m > < k e y > < s t r i n g > R E M A I N I N G _ T E R M < / s t r i n g > < / k e y > < v a l u e > < i n t > 1 3 < / i n t > < / v a l u e > < / i t e m > < i t e m > < k e y > < s t r i n g > P R I N C I P A L _ R E P A Y M E N T _ M E T H O D < / s t r i n g > < / k e y > < v a l u e > < i n t > 1 4 < / i n t > < / v a l u e > < / i t e m > < i t e m > < k e y > < s t r i n g > I N T E R E S T _ R A T E _ T Y P E < / s t r i n g > < / k e y > < v a l u e > < i n t > 1 5 < / i n t > < / v a l u e > < / i t e m > < i t e m > < k e y > < s t r i n g > F I X E D _ I N T E R E S T _ R A T E < / s t r i n g > < / k e y > < v a l u e > < i n t > 1 6 < / i n t > < / v a l u e > < / i t e m > < i t e m > < k e y > < s t r i n g > I N T E R E S T _ M A R G I N < / s t r i n g > < / k e y > < v a l u e > < i n t > 1 7 < / i n t > < / v a l u e > < / i t e m > < i t e m > < k e y > < s t r i n g > B A S I S _ R A T E < / s t r i n g > < / k e y > < v a l u e > < i n t > 1 8 < / i n t > < / v a l u e > < / i t e m > < i t e m > < k e y > < s t r i n g > E L I G I B L E _ F O R _ E C B _ O R _ C E N T R A L _ B A N K < / s t r i n g > < / k e y > < v a l u e > < i n t > 1 9 < / i n t > < / v a l u e > < / i t e m > < i t e m > < k e y > < s t r i n g > L O A N _ P E R F O R M I N G < / s t r i n g > < / k e y > < v a l u e > < i n t > 2 0 < / i n t > < / v a l u e > < / i t e m > < i t e m > < k e y > < s t r i n g > B A C K E D _ B Y _ M O R T G A G E < / s t r i n g > < / k e y > < v a l u e > < i n t > 2 1 < / i n t > < / v a l u e > < / i t e m > < i t e m > < k e y > < s t r i n g > L T V < / s t r i n g > < / k e y > < v a l u e > < i n t > 2 2 < / i n t > < / v a l u e > < / i t e m > < i t e m > < k e y > < s t r i n g > L A R G E S T _ G O V E R N M E N T _ G U A R A N T O R _ N A M E < / s t r i n g > < / k e y > < v a l u e > < i n t > 2 3 < / i n t > < / v a l u e > < / i t e m > < i t e m > < k e y > < s t r i n g > L A R G E S T _ G O V E R N M E N T _ G U A R A N T O R _ I D E N T I F I E R _ N U M B E R < / s t r i n g > < / k e y > < v a l u e > < i n t > 2 4 < / i n t > < / v a l u e > < / i t e m > < i t e m > < k e y > < s t r i n g > L A R G E S T _ G O V E R N M E N T _ G U A R A N T O R _ C O U N T R Y < / s t r i n g > < / k e y > < v a l u e > < i n t > 2 5 < / i n t > < / v a l u e > < / i t e m > < i t e m > < k e y > < s t r i n g > L A R G E S T _ G O V E R N M E N T _ G U A R A N T O R _ R E G I O N < / s t r i n g > < / k e y > < v a l u e > < i n t > 2 6 < / i n t > < / v a l u e > < / i t e m > < i t e m > < k e y > < s t r i n g > D E B T O R _ P O S T A L _ C O D E < / s t r i n g > < / k e y > < v a l u e > < i n t > 2 7 < / i n t > < / v a l u e > < / i t e m > < i t e m > < k e y > < s t r i n g > L A R G E S T _ G O V E R N M E N T _ G U A R A N T O R _ P O S T A L _ C O D E < / s t r i n g > < / k e y > < v a l u e > < i n t > 2 8 < / i n t > < / v a l u e > < / i t e m > < i t e m > < k e y > < s t r i n g > L A R G E S T _ G O V E R N M E N T _ G U A R A N T O R _ T Y P E < / s t r i n g > < / k e y > < v a l u e > < i n t > 2 9 < / i n t > < / v a l u e > < / i t e m > < i t e m > < k e y > < s t r i n g > N B R _ O F _ G O V E R N M E N T _ G U A R A N T O R S < / s t r i n g > < / k e y > < v a l u e > < i n t > 3 0 < / i n t > < / v a l u e > < / i t e m > < i t e m > < k e y > < s t r i n g > O W N E R S H I P _ P O S I T I O N < / s t r i n g > < / k e y > < v a l u e > < i n t > 3 1 < / i n t > < / v a l u e > < / i t e m > < i t e m > < k e y > < s t r i n g > S E C T O R < / s t r i n g > < / k e y > < v a l u e > < i n t > 3 2 < / i n t > < / v a l u e > < / i t e m > < i t e m > < k e y > < s t r i n g > R E M A I N I N G _ F I X E D _ I N T E R E S T _ P E R I O D < / s t r i n g > < / k e y > < v a l u e > < i n t > 3 3 < / i n t > < / v a l u e > < / i t e m > < i t e m > < k e y > < s t r i n g > B E W E R T U N G _ C L E A N _ E U R < / s t r i n g > < / k e y > < v a l u e > < i n t > 3 4 < / i n t > < / v a l u e > < / i t e m > < / C o l u m n D i s p l a y I n d e x > < C o l u m n F r o z e n   / > < C o l u m n C h e c k e d   / > < C o l u m n F i l t e r > < i t e m > < k e y > < s t r i n g > D E B T O R _ C O U N T R Y < / s t r i n g > < / k e y > < v a l u e > < F i l t e r E x p r e s s i o n   x s i : n i l = " t r u e "   / > < / v a l u e > < / i t e m > < / C o l u m n F i l t e r > < S e l e c t i o n F i l t e r > < i t e m > < k e y > < s t r i n g > D E B T O R _ C O U N T R Y < / s t r i n g > < / k e y > < v a l u e > < S e l e c t i o n F i l t e r   x s i : n i l = " t r u e "   / > < / v a l u e > < / i t e m > < / S e l e c t i o n F i l t e r > < F i l t e r P a r a m e t e r s > < i t e m > < k e y > < s t r i n g > D E B T O R _ C O U N T R Y < / s t r i n g > < / k e y > < v a l u e > < C o m m a n d P a r a m e t e r s   / > < / v a l u e > < / i t e m > < / F i l t e r P a r a m e t e r s > < I s S o r t D e s c e n d i n g > f a l s e < / I s S o r t D e s c e n d i n g > < / T a b l e W i d g e t G r i d S e r i a l i z a t i o n > ] ] > < / C u s t o m C o n t e n t > < / G e m i n i > 
</file>

<file path=customXml/item6.xml>��< ? x m l   v e r s i o n = " 1 . 0 "   e n c o d i n g = " U T F - 1 6 " ? > < G e m i n i   x m l n s = " h t t p : / / g e m i n i / p i v o t c u s t o m i z a t i o n / P o w e r P i v o t V e r s i o n " > < C u s t o m C o n t e n t > < ! [ C D A T A [ 2 0 1 5 . 1 3 0 . 1 6 0 5 . 9 1 3 ] ] > < / C u s t o m C o n t e n t > < / G e m i n i > 
</file>

<file path=customXml/item7.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8.xml>��< ? x m l   v e r s i o n = " 1 . 0 "   e n c o d i n g = " U T F - 1 6 " ? > < G e m i n i   x m l n s = " h t t p : / / g e m i n i / p i v o t c u s t o m i z a t i o n / T a b l e X M L _ C O M M E R C I A L _ L O A N _ 4 c f 6 2 b a e - f 9 e 1 - 4 3 0 6 - 8 0 7 a - f f c b 3 f 5 8 a 4 e 9 " > < 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 L O A N _ I D < / s t r i n g > < / k e y > < v a l u e > < i n t > 9 1 < / i n t > < / v a l u e > < / i t e m > < i t e m > < k e y > < s t r i n g > L O A N _ C U R R E N C Y < / s t r i n g > < / k e y > < v a l u e > < i n t > 1 4 3 < / i n t > < / v a l u e > < / i t e m > < i t e m > < k e y > < s t r i n g > L O A N _ B A L A N C E _ 1 < / s t r i n g > < / k e y > < v a l u e > < i n t > 1 4 9 < / i n t > < / v a l u e > < / i t e m > < i t e m > < k e y > < s t r i n g > L O A N _ B A L A N C E _ 2 < / s t r i n g > < / k e y > < v a l u e > < i n t > 1 4 9 < / i n t > < / v a l u e > < / i t e m > < i t e m > < k e y > < s t r i n g > C O M M I T T E D _ F U R T H E R _ A D V A N C E < / s t r i n g > < / k e y > < v a l u e > < i n t > 2 4 1 < / i n t > < / v a l u e > < / i t e m > < i t e m > < k e y > < s t r i n g > S C H E D U L E D _ L O A N _ B A L A N C E _ A T _ M A T U R I T Y _ 1 < / s t r i n g > < / k e y > < v a l u e > < i n t > 3 1 8 < / i n t > < / v a l u e > < / i t e m > < i t e m > < k e y > < s t r i n g > S C H E D U L E D _ L O A N _ B A L A N C E _ A T _ M A T U R I T Y _ 2 < / s t r i n g > < / k e y > < v a l u e > < i n t > 3 1 8 < / i n t > < / v a l u e > < / i t e m > < i t e m > < k e y > < s t r i n g > R E M A I N I N G _ T E R M _ I N _ M O N T H S < / s t r i n g > < / k e y > < v a l u e > < i n t > 2 3 3 < / i n t > < / v a l u e > < / i t e m > < i t e m > < k e y > < s t r i n g > S C H E D U L E D _ M A T U R I T Y _ D A T E _ O N _ L O A N < / s t r i n g > < / k e y > < v a l u e > < i n t > 2 8 3 < / i n t > < / v a l u e > < / i t e m > < i t e m > < k e y > < s t r i n g > L O A N _ O R I G I N A T I O N _ D A T E < / s t r i n g > < / k e y > < v a l u e > < i n t > 3 4 0 < / i n t > < / v a l u e > < / i t e m > < i t e m > < k e y > < s t r i n g > W H O L E _ L T V < / s t r i n g > < / k e y > < v a l u e > < i n t > 2 6 2 < / i n t > < / v a l u e > < / i t e m > < i t e m > < k e y > < s t r i n g > P R I O R _ R A N K S _ S E C U R E D _ B Y _ P R O P E R T Y < / s t r i n g > < / k e y > < v a l u e > < i n t > 2 7 7 < / i n t > < / v a l u e > < / i t e m > < i t e m > < k e y > < s t r i n g > J U N I O R _ R A N K S < / s t r i n g > < / k e y > < v a l u e > < i n t > 1 3 1 < / i n t > < / v a l u e > < / i t e m > < i t e m > < k e y > < s t r i n g > I N T E R E S T _ R A T E _ T Y P E < / s t r i n g > < / k e y > < v a l u e > < i n t > 1 6 6 < / i n t > < / v a l u e > < / i t e m > < i t e m > < k e y > < s t r i n g > F I X E D _ I N T E R E S T _ R A T E < / s t r i n g > < / k e y > < v a l u e > < i n t > 1 7 2 < / i n t > < / v a l u e > < / i t e m > < i t e m > < k e y > < s t r i n g > I N T E R E S T _ M A R G I N < / s t r i n g > < / k e y > < v a l u e > < i n t > 1 5 2 < / i n t > < / v a l u e > < / i t e m > < i t e m > < k e y > < s t r i n g > B A S I S _ O R _ R E F E R E N C E _ R A T E < / s t r i n g > < / k e y > < v a l u e > < i n t > 2 0 9 < / i n t > < / v a l u e > < / i t e m > < i t e m > < k e y > < s t r i n g > D S C R < / s t r i n g > < / k e y > < v a l u e > < i n t > 6 8 < / i n t > < / v a l u e > < / i t e m > < i t e m > < k e y > < s t r i n g > P R I N C I P A L _ P A Y M E N T _ F R E Q U E N C Y < / s t r i n g > < / k e y > < v a l u e > < i n t > 2 4 5 < / i n t > < / v a l u e > < / i t e m > < i t e m > < k e y > < s t r i n g > P R I N C I P A L _ R E P A Y M E N T _ M E T H O D < / s t r i n g > < / k e y > < v a l u e > < i n t > 2 4 1 < / i n t > < / v a l u e > < / i t e m > < i t e m > < k e y > < s t r i n g > L O A N _ P E R F O R M I N G < / s t r i n g > < / k e y > < v a l u e > < i n t > 1 6 1 < / i n t > < / v a l u e > < / i t e m > < i t e m > < k e y > < s t r i n g > D E B T O R _ I D < / s t r i n g > < / k e y > < v a l u e > < i n t > 1 0 5 < / i n t > < / v a l u e > < / i t e m > < i t e m > < k e y > < s t r i n g > D E B T O R _ N A M E < / s t r i n g > < / k e y > < v a l u e > < i n t > 1 3 0 < / i n t > < / v a l u e > < / i t e m > < i t e m > < k e y > < s t r i n g > D E B T O R _ T Y P E < / s t r i n g > < / k e y > < v a l u e > < i n t > 1 2 1 < / i n t > < / v a l u e > < / i t e m > < i t e m > < k e y > < s t r i n g > R E C O U R S E _ T O _ B O R R O W E R < / s t r i n g > < / k e y > < v a l u e > < i n t > 2 0 3 < / i n t > < / v a l u e > < / i t e m > < i t e m > < k e y > < s t r i n g > P R O P E R T Y _ I D < / s t r i n g > < / k e y > < v a l u e > < i n t > 1 1 9 < / i n t > < / v a l u e > < / i t e m > < i t e m > < k e y > < s t r i n g > V A L U A T I O N _ O F _ P R O P E R T Y _ I N _ D E F A U L T _ C U R R E N C Y < / s t r i n g > < / k e y > < v a l u e > < i n t > 3 5 3 < / i n t > < / v a l u e > < / i t e m > < i t e m > < k e y > < s t r i n g > V A L U A T I O N _ O F _ P R O P E R T Y _ I N _ C U R R E N C Y _ O F _ T H E _ L O A N < / s t r i n g > < / k e y > < v a l u e > < i n t > 3 9 0 < / i n t > < / v a l u e > < / i t e m > < i t e m > < k e y > < s t r i n g > U P D A T E D _ V A L U A T I O N _ O F _ P R O P E R T Y < / s t r i n g > < / k e y > < v a l u e > < i n t > 2 6 5 < / i n t > < / v a l u e > < / i t e m > < i t e m > < k e y > < s t r i n g > D A T E _ O F _ V A L U A T I O N _ U S E D _ F O R _ L T V < / s t r i n g > < / k e y > < v a l u e > < i n t > 2 6 8 < / i n t > < / v a l u e > < / i t e m > < i t e m > < k e y > < s t r i n g > V A L U A T I O N _ T Y P E < / s t r i n g > < / k e y > < v a l u e > < i n t > 1 4 3 < / i n t > < / v a l u e > < / i t e m > < i t e m > < k e y > < s t r i n g > C O U N T R Y _ P R O P E R T Y < / s t r i n g > < / k e y > < v a l u e > < i n t > 1 6 5 < / i n t > < / v a l u e > < / i t e m > < i t e m > < k e y > < s t r i n g > R E G I O N < / s t r i n g > < / k e y > < v a l u e > < i n t > 8 4 < / i n t > < / v a l u e > < / i t e m > < i t e m > < k e y > < s t r i n g > P R O P E R T Y _ T Y P E < / s t r i n g > < / k e y > < v a l u e > < i n t > 1 3 5 < / i n t > < / v a l u e > < / i t e m > < i t e m > < k e y > < s t r i n g > N B R _ O F _ P R O P E R T I E S < / s t r i n g > < / k e y > < v a l u e > < i n t > 1 6 7 < / i n t > < / v a l u e > < / i t e m > < i t e m > < k e y > < s t r i n g > E L I G I B L E < / s t r i n g > < / k e y > < v a l u e > < i n t > 8 7 < / i n t > < / v a l u e > < / i t e m > < i t e m > < k e y > < s t r i n g > P O S T A L _ C O D E < / s t r i n g > < / k e y > < v a l u e > < i n t > 1 2 3 < / i n t > < / v a l u e > < / i t e m > < i t e m > < k e y > < s t r i n g > L O A N _ B A L A N C E _ 3 < / s t r i n g > < / k e y > < v a l u e > < i n t > 1 4 9 < / i n t > < / v a l u e > < / i t e m > < i t e m > < k e y > < s t r i n g > S E A S O N I N G < / s t r i n g > < / k e y > < v a l u e > < i n t > 1 0 9 < / i n t > < / v a l u e > < / i t e m > < i t e m > < k e y > < s t r i n g > R E M A I N I N G _ F I X E D _ I N T E R E S T _ P E R I O D < / s t r i n g > < / k e y > < v a l u e > < i n t > 2 6 8 < / i n t > < / v a l u e > < / i t e m > < i t e m > < k e y > < s t r i n g > B E W E R T U N G _ C L E A N _ E U R < / s t r i n g > < / k e y > < v a l u e > < i n t > 1 9 2 < / i n t > < / v a l u e > < / i t e m > < i t e m > < k e y > < s t r i n g > L O A N _ B A L A N C E _ 4 < / s t r i n g > < / k e y > < v a l u e > < i n t > 1 4 9 < / i n t > < / v a l u e > < / i t e m > < i t e m > < k e y > < s t r i n g > E L I G I B L E _ L T V < / s t r i n g > < / k e y > < v a l u e > < i n t > 1 1 5 < / i n t > < / v a l u e > < / i t e m > < i t e m > < k e y > < s t r i n g > P R I O R _ R A N K S _ S E C U R E D _ B Y _ P R O P E R T Y _ B U C K E T S < / s t r i n g > < / k e y > < v a l u e > < i n t > 3 3 8 < / i n t > < / v a l u e > < / i t e m > < i t e m > < k e y > < s t r i n g > B A S E L 2 _ S E G M E N T < / s t r i n g > < / k e y > < v a l u e > < i n t > 1 4 6 < / i n t > < / v a l u e > < / i t e m > < i t e m > < k e y > < s t r i n g > S A L D O < / s t r i n g > < / k e y > < v a l u e > < i n t > 7 7 < / i n t > < / v a l u e > < / i t e m > < / C o l u m n W i d t h s > < C o l u m n D i s p l a y I n d e x > < i t e m > < k e y > < s t r i n g > D A T U M < / s t r i n g > < / k e y > < v a l u e > < i n t > 0 < / i n t > < / v a l u e > < / i t e m > < i t e m > < k e y > < s t r i n g > I N S T I T U T S Z U O R D N U N G < / s t r i n g > < / k e y > < v a l u e > < i n t > 1 < / i n t > < / v a l u e > < / i t e m > < i t e m > < k e y > < s t r i n g > L O A N _ I D < / s t r i n g > < / k e y > < v a l u e > < i n t > 2 < / i n t > < / v a l u e > < / i t e m > < i t e m > < k e y > < s t r i n g > L O A N _ C U R R E N C Y < / s t r i n g > < / k e y > < v a l u e > < i n t > 3 < / i n t > < / v a l u e > < / i t e m > < i t e m > < k e y > < s t r i n g > L O A N _ B A L A N C E _ 1 < / s t r i n g > < / k e y > < v a l u e > < i n t > 4 < / i n t > < / v a l u e > < / i t e m > < i t e m > < k e y > < s t r i n g > L O A N _ B A L A N C E _ 2 < / s t r i n g > < / k e y > < v a l u e > < i n t > 5 < / i n t > < / v a l u e > < / i t e m > < i t e m > < k e y > < s t r i n g > C O M M I T T E D _ F U R T H E R _ A D V A N C E < / s t r i n g > < / k e y > < v a l u e > < i n t > 6 < / i n t > < / v a l u e > < / i t e m > < i t e m > < k e y > < s t r i n g > S C H E D U L E D _ L O A N _ B A L A N C E _ A T _ M A T U R I T Y _ 1 < / s t r i n g > < / k e y > < v a l u e > < i n t > 7 < / i n t > < / v a l u e > < / i t e m > < i t e m > < k e y > < s t r i n g > S C H E D U L E D _ L O A N _ B A L A N C E _ A T _ M A T U R I T Y _ 2 < / s t r i n g > < / k e y > < v a l u e > < i n t > 8 < / i n t > < / v a l u e > < / i t e m > < i t e m > < k e y > < s t r i n g > R E M A I N I N G _ T E R M _ I N _ M O N T H S < / s t r i n g > < / k e y > < v a l u e > < i n t > 9 < / i n t > < / v a l u e > < / i t e m > < i t e m > < k e y > < s t r i n g > S C H E D U L E D _ M A T U R I T Y _ D A T E _ O N _ L O A N < / s t r i n g > < / k e y > < v a l u e > < i n t > 1 0 < / i n t > < / v a l u e > < / i t e m > < i t e m > < k e y > < s t r i n g > L O A N _ O R I G I N A T I O N _ D A T E < / s t r i n g > < / k e y > < v a l u e > < i n t > 1 1 < / i n t > < / v a l u e > < / i t e m > < i t e m > < k e y > < s t r i n g > W H O L E _ L T V < / s t r i n g > < / k e y > < v a l u e > < i n t > 1 2 < / i n t > < / v a l u e > < / i t e m > < i t e m > < k e y > < s t r i n g > P R I O R _ R A N K S _ S E C U R E D _ B Y _ P R O P E R T Y < / s t r i n g > < / k e y > < v a l u e > < i n t > 1 3 < / i n t > < / v a l u e > < / i t e m > < i t e m > < k e y > < s t r i n g > J U N I O R _ R A N K S < / s t r i n g > < / k e y > < v a l u e > < i n t > 1 4 < / i n t > < / v a l u e > < / i t e m > < i t e m > < k e y > < s t r i n g > I N T E R E S T _ R A T E _ T Y P E < / s t r i n g > < / k e y > < v a l u e > < i n t > 1 5 < / i n t > < / v a l u e > < / i t e m > < i t e m > < k e y > < s t r i n g > F I X E D _ I N T E R E S T _ R A T E < / s t r i n g > < / k e y > < v a l u e > < i n t > 1 6 < / i n t > < / v a l u e > < / i t e m > < i t e m > < k e y > < s t r i n g > I N T E R E S T _ M A R G I N < / s t r i n g > < / k e y > < v a l u e > < i n t > 1 7 < / i n t > < / v a l u e > < / i t e m > < i t e m > < k e y > < s t r i n g > B A S I S _ O R _ R E F E R E N C E _ R A T E < / s t r i n g > < / k e y > < v a l u e > < i n t > 1 8 < / i n t > < / v a l u e > < / i t e m > < i t e m > < k e y > < s t r i n g > D S C R < / s t r i n g > < / k e y > < v a l u e > < i n t > 1 9 < / i n t > < / v a l u e > < / i t e m > < i t e m > < k e y > < s t r i n g > P R I N C I P A L _ P A Y M E N T _ F R E Q U E N C Y < / s t r i n g > < / k e y > < v a l u e > < i n t > 2 0 < / i n t > < / v a l u e > < / i t e m > < i t e m > < k e y > < s t r i n g > P R I N C I P A L _ R E P A Y M E N T _ M E T H O D < / s t r i n g > < / k e y > < v a l u e > < i n t > 2 1 < / i n t > < / v a l u e > < / i t e m > < i t e m > < k e y > < s t r i n g > L O A N _ P E R F O R M I N G < / s t r i n g > < / k e y > < v a l u e > < i n t > 2 2 < / i n t > < / v a l u e > < / i t e m > < i t e m > < k e y > < s t r i n g > D E B T O R _ I D < / s t r i n g > < / k e y > < v a l u e > < i n t > 2 3 < / i n t > < / v a l u e > < / i t e m > < i t e m > < k e y > < s t r i n g > D E B T O R _ N A M E < / s t r i n g > < / k e y > < v a l u e > < i n t > 2 4 < / i n t > < / v a l u e > < / i t e m > < i t e m > < k e y > < s t r i n g > D E B T O R _ T Y P E < / s t r i n g > < / k e y > < v a l u e > < i n t > 2 5 < / i n t > < / v a l u e > < / i t e m > < i t e m > < k e y > < s t r i n g > R E C O U R S E _ T O _ B O R R O W E R < / s t r i n g > < / k e y > < v a l u e > < i n t > 2 6 < / i n t > < / v a l u e > < / i t e m > < i t e m > < k e y > < s t r i n g > P R O P E R T Y _ I D < / s t r i n g > < / k e y > < v a l u e > < i n t > 2 7 < / i n t > < / v a l u e > < / i t e m > < i t e m > < k e y > < s t r i n g > V A L U A T I O N _ O F _ P R O P E R T Y _ I N _ D E F A U L T _ C U R R E N C Y < / s t r i n g > < / k e y > < v a l u e > < i n t > 2 8 < / i n t > < / v a l u e > < / i t e m > < i t e m > < k e y > < s t r i n g > V A L U A T I O N _ O F _ P R O P E R T Y _ I N _ C U R R E N C Y _ O F _ T H E _ L O A N < / s t r i n g > < / k e y > < v a l u e > < i n t > 2 9 < / i n t > < / v a l u e > < / i t e m > < i t e m > < k e y > < s t r i n g > U P D A T E D _ V A L U A T I O N _ O F _ P R O P E R T Y < / s t r i n g > < / k e y > < v a l u e > < i n t > 3 0 < / i n t > < / v a l u e > < / i t e m > < i t e m > < k e y > < s t r i n g > D A T E _ O F _ V A L U A T I O N _ U S E D _ F O R _ L T V < / s t r i n g > < / k e y > < v a l u e > < i n t > 3 1 < / i n t > < / v a l u e > < / i t e m > < i t e m > < k e y > < s t r i n g > V A L U A T I O N _ T Y P E < / s t r i n g > < / k e y > < v a l u e > < i n t > 3 2 < / i n t > < / v a l u e > < / i t e m > < i t e m > < k e y > < s t r i n g > C O U N T R Y _ P R O P E R T Y < / s t r i n g > < / k e y > < v a l u e > < i n t > 3 3 < / i n t > < / v a l u e > < / i t e m > < i t e m > < k e y > < s t r i n g > R E G I O N < / s t r i n g > < / k e y > < v a l u e > < i n t > 3 4 < / i n t > < / v a l u e > < / i t e m > < i t e m > < k e y > < s t r i n g > P R O P E R T Y _ T Y P E < / s t r i n g > < / k e y > < v a l u e > < i n t > 3 5 < / i n t > < / v a l u e > < / i t e m > < i t e m > < k e y > < s t r i n g > N B R _ O F _ P R O P E R T I E S < / s t r i n g > < / k e y > < v a l u e > < i n t > 3 6 < / i n t > < / v a l u e > < / i t e m > < i t e m > < k e y > < s t r i n g > E L I G I B L E < / s t r i n g > < / k e y > < v a l u e > < i n t > 3 7 < / i n t > < / v a l u e > < / i t e m > < i t e m > < k e y > < s t r i n g > P O S T A L _ C O D E < / s t r i n g > < / k e y > < v a l u e > < i n t > 3 8 < / i n t > < / v a l u e > < / i t e m > < i t e m > < k e y > < s t r i n g > L O A N _ B A L A N C E _ 3 < / s t r i n g > < / k e y > < v a l u e > < i n t > 4 2 < / i n t > < / v a l u e > < / i t e m > < i t e m > < k e y > < s t r i n g > S E A S O N I N G < / s t r i n g > < / k e y > < v a l u e > < i n t > 3 9 < / i n t > < / v a l u e > < / i t e m > < i t e m > < k e y > < s t r i n g > R E M A I N I N G _ F I X E D _ I N T E R E S T _ P E R I O D < / s t r i n g > < / k e y > < v a l u e > < i n t > 4 0 < / i n t > < / v a l u e > < / i t e m > < i t e m > < k e y > < s t r i n g > B E W E R T U N G _ C L E A N _ E U R < / s t r i n g > < / k e y > < v a l u e > < i n t > 4 1 < / i n t > < / v a l u e > < / i t e m > < i t e m > < k e y > < s t r i n g > L O A N _ B A L A N C E _ 4 < / s t r i n g > < / k e y > < v a l u e > < i n t > 4 3 < / i n t > < / v a l u e > < / i t e m > < i t e m > < k e y > < s t r i n g > E L I G I B L E _ L T V < / s t r i n g > < / k e y > < v a l u e > < i n t > 4 4 < / i n t > < / v a l u e > < / i t e m > < i t e m > < k e y > < s t r i n g > P R I O R _ R A N K S _ S E C U R E D _ B Y _ P R O P E R T Y _ B U C K E T S < / s t r i n g > < / k e y > < v a l u e > < i n t > 4 5 < / i n t > < / v a l u e > < / i t e m > < i t e m > < k e y > < s t r i n g > B A S E L 2 _ S E G M E N T < / s t r i n g > < / k e y > < v a l u e > < i n t > 4 6 < / i n t > < / v a l u e > < / i t e m > < i t e m > < k e y > < s t r i n g > S A L D O < / s t r i n g > < / k e y > < v a l u e > < i n t > 4 7 < / i n t > < / v a l u e > < / i t e m > < / C o l u m n D i s p l a y I n d e x > < C o l u m n F r o z e n   / > < C o l u m n C h e c k e d   / > < C o l u m n F i l t e r   / > < S e l e c t i o n F i l t e r   / > < F i l t e r P a r a m e t e r s   / > < I s S o r t D e s c e n d i n g > f a l s e < / I s S o r t D e s c e n d i n g > < / T a b l e W i d g e t G r i d S e r i a l i z a t i o n > ] ] > < / C u s t o m C o n t e n t > < / G e m i n i > 
</file>

<file path=customXml/item9.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F7387B-28D3-4651-A896-FAA90B726915}">
  <ds:schemaRefs/>
</ds:datastoreItem>
</file>

<file path=customXml/itemProps10.xml><?xml version="1.0" encoding="utf-8"?>
<ds:datastoreItem xmlns:ds="http://schemas.openxmlformats.org/officeDocument/2006/customXml" ds:itemID="{7507B258-3AE9-4C45-AD36-E2E45B6A4097}">
  <ds:schemaRefs/>
</ds:datastoreItem>
</file>

<file path=customXml/itemProps11.xml><?xml version="1.0" encoding="utf-8"?>
<ds:datastoreItem xmlns:ds="http://schemas.openxmlformats.org/officeDocument/2006/customXml" ds:itemID="{9BAB0580-DDD3-426F-8070-8BFC7AF5E340}">
  <ds:schemaRefs/>
</ds:datastoreItem>
</file>

<file path=customXml/itemProps12.xml><?xml version="1.0" encoding="utf-8"?>
<ds:datastoreItem xmlns:ds="http://schemas.openxmlformats.org/officeDocument/2006/customXml" ds:itemID="{7A04B3B1-7F11-4C1A-9359-516680FC03DD}">
  <ds:schemaRefs/>
</ds:datastoreItem>
</file>

<file path=customXml/itemProps13.xml><?xml version="1.0" encoding="utf-8"?>
<ds:datastoreItem xmlns:ds="http://schemas.openxmlformats.org/officeDocument/2006/customXml" ds:itemID="{C32565A5-3125-44B3-A89A-F287AD159288}">
  <ds:schemaRefs>
    <ds:schemaRef ds:uri="http://gemini/pivotcustomization/LinkedTableUpdateMode"/>
  </ds:schemaRefs>
</ds:datastoreItem>
</file>

<file path=customXml/itemProps14.xml><?xml version="1.0" encoding="utf-8"?>
<ds:datastoreItem xmlns:ds="http://schemas.openxmlformats.org/officeDocument/2006/customXml" ds:itemID="{40A26624-266A-47E5-A697-C5070611F632}">
  <ds:schemaRefs/>
</ds:datastoreItem>
</file>

<file path=customXml/itemProps15.xml><?xml version="1.0" encoding="utf-8"?>
<ds:datastoreItem xmlns:ds="http://schemas.openxmlformats.org/officeDocument/2006/customXml" ds:itemID="{2C7A79CF-CE4E-41FA-9C78-247CD7E05A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960ba-af66-4646-a5ac-6578ee52b2b1"/>
    <ds:schemaRef ds:uri="1dc82490-c741-4406-bddd-9ead5a1c33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6.xml><?xml version="1.0" encoding="utf-8"?>
<ds:datastoreItem xmlns:ds="http://schemas.openxmlformats.org/officeDocument/2006/customXml" ds:itemID="{B33F67A7-FDF3-407B-8C10-3A1AC68D0031}">
  <ds:schemaRefs>
    <ds:schemaRef ds:uri="http://schemas.microsoft.com/DataMashup"/>
  </ds:schemaRefs>
</ds:datastoreItem>
</file>

<file path=customXml/itemProps17.xml><?xml version="1.0" encoding="utf-8"?>
<ds:datastoreItem xmlns:ds="http://schemas.openxmlformats.org/officeDocument/2006/customXml" ds:itemID="{7CA73CB8-32D3-40F2-8A4B-68246EB54072}">
  <ds:schemaRefs>
    <ds:schemaRef ds:uri="http://schemas.microsoft.com/office/2006/metadata/properties"/>
    <ds:schemaRef ds:uri="http://schemas.microsoft.com/office/infopath/2007/PartnerControls"/>
  </ds:schemaRefs>
</ds:datastoreItem>
</file>

<file path=customXml/itemProps18.xml><?xml version="1.0" encoding="utf-8"?>
<ds:datastoreItem xmlns:ds="http://schemas.openxmlformats.org/officeDocument/2006/customXml" ds:itemID="{38FF9CA1-04FC-4899-A85A-0CD3A5C6A76A}">
  <ds:schemaRefs/>
</ds:datastoreItem>
</file>

<file path=customXml/itemProps19.xml><?xml version="1.0" encoding="utf-8"?>
<ds:datastoreItem xmlns:ds="http://schemas.openxmlformats.org/officeDocument/2006/customXml" ds:itemID="{365592BA-F5D0-4E92-9C12-9504D8078D42}">
  <ds:schemaRefs/>
</ds:datastoreItem>
</file>

<file path=customXml/itemProps2.xml><?xml version="1.0" encoding="utf-8"?>
<ds:datastoreItem xmlns:ds="http://schemas.openxmlformats.org/officeDocument/2006/customXml" ds:itemID="{56A41FC9-26F9-4595-8B07-35C348795AB0}">
  <ds:schemaRefs/>
</ds:datastoreItem>
</file>

<file path=customXml/itemProps20.xml><?xml version="1.0" encoding="utf-8"?>
<ds:datastoreItem xmlns:ds="http://schemas.openxmlformats.org/officeDocument/2006/customXml" ds:itemID="{11585A3A-EEE0-4C8A-96C6-23EFA8F85ACA}">
  <ds:schemaRefs>
    <ds:schemaRef ds:uri="http://gemini/pivotcustomization/TableXML_LOAN_CASHFLOW_12715840-ba4f-4fbe-ba8f-76989afd807d"/>
  </ds:schemaRefs>
</ds:datastoreItem>
</file>

<file path=customXml/itemProps21.xml><?xml version="1.0" encoding="utf-8"?>
<ds:datastoreItem xmlns:ds="http://schemas.openxmlformats.org/officeDocument/2006/customXml" ds:itemID="{CEB721B2-7D35-4D2B-9EB1-563286F97DF2}">
  <ds:schemaRefs/>
</ds:datastoreItem>
</file>

<file path=customXml/itemProps22.xml><?xml version="1.0" encoding="utf-8"?>
<ds:datastoreItem xmlns:ds="http://schemas.openxmlformats.org/officeDocument/2006/customXml" ds:itemID="{839517A1-394B-418E-A0EB-ECA19BB005E4}">
  <ds:schemaRefs>
    <ds:schemaRef ds:uri="http://gemini/pivotcustomization/ShowImplicitMeasures"/>
  </ds:schemaRefs>
</ds:datastoreItem>
</file>

<file path=customXml/itemProps23.xml><?xml version="1.0" encoding="utf-8"?>
<ds:datastoreItem xmlns:ds="http://schemas.openxmlformats.org/officeDocument/2006/customXml" ds:itemID="{F172B6D7-D18D-4A11-BB8A-2EA249CBFAB7}">
  <ds:schemaRefs/>
</ds:datastoreItem>
</file>

<file path=customXml/itemProps24.xml><?xml version="1.0" encoding="utf-8"?>
<ds:datastoreItem xmlns:ds="http://schemas.openxmlformats.org/officeDocument/2006/customXml" ds:itemID="{9D605CA3-ED85-4D88-A0A4-C37DD8FA1832}">
  <ds:schemaRefs>
    <ds:schemaRef ds:uri="http://gemini/pivotcustomization/ShowHidden"/>
  </ds:schemaRefs>
</ds:datastoreItem>
</file>

<file path=customXml/itemProps25.xml><?xml version="1.0" encoding="utf-8"?>
<ds:datastoreItem xmlns:ds="http://schemas.openxmlformats.org/officeDocument/2006/customXml" ds:itemID="{CCE72916-D5A3-43E1-A936-881D983A2311}">
  <ds:schemaRefs>
    <ds:schemaRef ds:uri="http://gemini/pivotcustomization/TableXML_STAGE_FX_RATE_614b41e9-c376-4904-be23-d93c2b76289c"/>
  </ds:schemaRefs>
</ds:datastoreItem>
</file>

<file path=customXml/itemProps26.xml><?xml version="1.0" encoding="utf-8"?>
<ds:datastoreItem xmlns:ds="http://schemas.openxmlformats.org/officeDocument/2006/customXml" ds:itemID="{84ADE108-A0CE-4DDF-B4B4-1762439A09B3}">
  <ds:schemaRefs/>
</ds:datastoreItem>
</file>

<file path=customXml/itemProps27.xml><?xml version="1.0" encoding="utf-8"?>
<ds:datastoreItem xmlns:ds="http://schemas.openxmlformats.org/officeDocument/2006/customXml" ds:itemID="{58139DE6-C286-4A2A-B994-D35F234BAA7B}">
  <ds:schemaRefs>
    <ds:schemaRef ds:uri="http://gemini/pivotcustomization/TableXML_DataUpdateinfo_e30a0a4b-bf13-4d06-833d-f258bbea459f"/>
  </ds:schemaRefs>
</ds:datastoreItem>
</file>

<file path=customXml/itemProps28.xml><?xml version="1.0" encoding="utf-8"?>
<ds:datastoreItem xmlns:ds="http://schemas.openxmlformats.org/officeDocument/2006/customXml" ds:itemID="{50088573-E59F-422D-A7B1-8CDF2E23ABA3}">
  <ds:schemaRefs>
    <ds:schemaRef ds:uri="http://gemini/pivotcustomization/ManualCalcMode"/>
  </ds:schemaRefs>
</ds:datastoreItem>
</file>

<file path=customXml/itemProps3.xml><?xml version="1.0" encoding="utf-8"?>
<ds:datastoreItem xmlns:ds="http://schemas.openxmlformats.org/officeDocument/2006/customXml" ds:itemID="{718EDDAF-EE60-41AF-9420-D3FCF7DC674E}">
  <ds:schemaRefs>
    <ds:schemaRef ds:uri="http://gemini/pivotcustomization/TableXML_COVERED_BOND_CASHFLOW_fbcce153-7714-45b3-8c30-961971b24994"/>
  </ds:schemaRefs>
</ds:datastoreItem>
</file>

<file path=customXml/itemProps4.xml><?xml version="1.0" encoding="utf-8"?>
<ds:datastoreItem xmlns:ds="http://schemas.openxmlformats.org/officeDocument/2006/customXml" ds:itemID="{6B8BCBDC-BA41-4816-BE42-248191009854}">
  <ds:schemaRefs>
    <ds:schemaRef ds:uri="http://gemini/pivotcustomization/TableXML_Tabelle1"/>
  </ds:schemaRefs>
</ds:datastoreItem>
</file>

<file path=customXml/itemProps5.xml><?xml version="1.0" encoding="utf-8"?>
<ds:datastoreItem xmlns:ds="http://schemas.openxmlformats.org/officeDocument/2006/customXml" ds:itemID="{1BABDBF5-1C5C-4D74-B9FF-53C717757EF6}">
  <ds:schemaRefs/>
</ds:datastoreItem>
</file>

<file path=customXml/itemProps6.xml><?xml version="1.0" encoding="utf-8"?>
<ds:datastoreItem xmlns:ds="http://schemas.openxmlformats.org/officeDocument/2006/customXml" ds:itemID="{AC89BAB1-F20B-42E0-9011-5F29CFCE6500}">
  <ds:schemaRefs/>
</ds:datastoreItem>
</file>

<file path=customXml/itemProps7.xml><?xml version="1.0" encoding="utf-8"?>
<ds:datastoreItem xmlns:ds="http://schemas.openxmlformats.org/officeDocument/2006/customXml" ds:itemID="{D93AB072-0502-4B78-AC03-1E1467A3A43D}">
  <ds:schemaRefs>
    <ds:schemaRef ds:uri="http://gemini/pivotcustomization/FormulaBarState"/>
  </ds:schemaRefs>
</ds:datastoreItem>
</file>

<file path=customXml/itemProps8.xml><?xml version="1.0" encoding="utf-8"?>
<ds:datastoreItem xmlns:ds="http://schemas.openxmlformats.org/officeDocument/2006/customXml" ds:itemID="{DA729D57-B264-40F8-845F-AF40B3141F21}">
  <ds:schemaRefs/>
</ds:datastoreItem>
</file>

<file path=customXml/itemProps9.xml><?xml version="1.0" encoding="utf-8"?>
<ds:datastoreItem xmlns:ds="http://schemas.openxmlformats.org/officeDocument/2006/customXml" ds:itemID="{82C78A39-B9E5-4C4F-A222-58B137DE41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62</vt:i4>
      </vt:variant>
    </vt:vector>
  </HeadingPairs>
  <TitlesOfParts>
    <vt:vector size="65" baseType="lpstr">
      <vt:lpstr>A. General PublicSector</vt:lpstr>
      <vt:lpstr>B2. Public Sector Assets</vt:lpstr>
      <vt:lpstr>C. ISIN List</vt:lpstr>
      <vt:lpstr>AmortisingTypes</vt:lpstr>
      <vt:lpstr>Arrears</vt:lpstr>
      <vt:lpstr>Asset_Types2</vt:lpstr>
      <vt:lpstr>Assets_Backing</vt:lpstr>
      <vt:lpstr>Australia_Region</vt:lpstr>
      <vt:lpstr>BasisRates</vt:lpstr>
      <vt:lpstr>Belgium_Region</vt:lpstr>
      <vt:lpstr>Commercial_Types</vt:lpstr>
      <vt:lpstr>CommercialCollateralTypes</vt:lpstr>
      <vt:lpstr>CountriesEEA</vt:lpstr>
      <vt:lpstr>CountryList</vt:lpstr>
      <vt:lpstr>Czech_Republic_Region</vt:lpstr>
      <vt:lpstr>Debtor_Type</vt:lpstr>
      <vt:lpstr>Lists!Druckbereich</vt:lpstr>
      <vt:lpstr>Eligible_Ineligible</vt:lpstr>
      <vt:lpstr>ExportFinanceType</vt:lpstr>
      <vt:lpstr>Fixed_Floating</vt:lpstr>
      <vt:lpstr>France_Region</vt:lpstr>
      <vt:lpstr>Frequency</vt:lpstr>
      <vt:lpstr>Frequency2</vt:lpstr>
      <vt:lpstr>Frequency3</vt:lpstr>
      <vt:lpstr>Frequency4</vt:lpstr>
      <vt:lpstr>Frequency5</vt:lpstr>
      <vt:lpstr>Frequency6</vt:lpstr>
      <vt:lpstr>Frequency7</vt:lpstr>
      <vt:lpstr>FX</vt:lpstr>
      <vt:lpstr>FX_2</vt:lpstr>
      <vt:lpstr>Germany_Region</vt:lpstr>
      <vt:lpstr>Greece_Region</vt:lpstr>
      <vt:lpstr>Green_bond</vt:lpstr>
      <vt:lpstr>IR_Type</vt:lpstr>
      <vt:lpstr>Italy_Region</vt:lpstr>
      <vt:lpstr>Lists_GOS</vt:lpstr>
      <vt:lpstr>Lists_Sector</vt:lpstr>
      <vt:lpstr>MaturityType</vt:lpstr>
      <vt:lpstr>Moodys_Scale</vt:lpstr>
      <vt:lpstr>Netherlands_Region</vt:lpstr>
      <vt:lpstr>Nominal_NPV</vt:lpstr>
      <vt:lpstr>Performing</vt:lpstr>
      <vt:lpstr>Performing2</vt:lpstr>
      <vt:lpstr>Portugal_Region</vt:lpstr>
      <vt:lpstr>Prepayment</vt:lpstr>
      <vt:lpstr>Principal_repayment_Patern</vt:lpstr>
      <vt:lpstr>Principal_repayment_Pattern</vt:lpstr>
      <vt:lpstr>PrincipalRepaymentSUbsAssets</vt:lpstr>
      <vt:lpstr>PropertyValueLTV</vt:lpstr>
      <vt:lpstr>PublicSectorOptions</vt:lpstr>
      <vt:lpstr>SouthAfrica_Region</vt:lpstr>
      <vt:lpstr>Spain_Region</vt:lpstr>
      <vt:lpstr>Static_Dynamic</vt:lpstr>
      <vt:lpstr>Stichtag</vt:lpstr>
      <vt:lpstr>SubstituteCollateral_Type</vt:lpstr>
      <vt:lpstr>Swap_Profile</vt:lpstr>
      <vt:lpstr>SwapsCollateralPosting</vt:lpstr>
      <vt:lpstr>Sweden_Region</vt:lpstr>
      <vt:lpstr>Switzerland_Region</vt:lpstr>
      <vt:lpstr>Tenant_Weighting</vt:lpstr>
      <vt:lpstr>Timeframe_DSCR</vt:lpstr>
      <vt:lpstr>UK_Region</vt:lpstr>
      <vt:lpstr>Value_Type</vt:lpstr>
      <vt:lpstr>Value_Type2</vt:lpstr>
      <vt:lpstr>Versions</vt:lpstr>
    </vt:vector>
  </TitlesOfParts>
  <Manager/>
  <Company>Moody's Investors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Moody's Investors Service</dc:creator>
  <cp:keywords/>
  <dc:description/>
  <cp:lastModifiedBy>Muratovic, Edita</cp:lastModifiedBy>
  <cp:revision/>
  <dcterms:created xsi:type="dcterms:W3CDTF">2005-03-29T19:18:55Z</dcterms:created>
  <dcterms:modified xsi:type="dcterms:W3CDTF">2024-05-03T08:59:30Z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0x01010065D991CD2ADE68439A7A8C1907CD2860</vt:lpwstr>
  </property>
  <property fmtid="{D5CDD505-2E9C-101B-9397-08002B2CF9AE}" pid="3" name="MSIP_Label_b0e4137d-3c3f-4cec-9f07-da88235b25cd_Enabled">
    <vt:lpwstr>true</vt:lpwstr>
  </property>
  <property fmtid="{D5CDD505-2E9C-101B-9397-08002B2CF9AE}" pid="4" name="MSIP_Label_b0e4137d-3c3f-4cec-9f07-da88235b25cd_SetDate">
    <vt:lpwstr>2021-02-03T13:25:34Z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b058d590-3281-449d-bf5d-325da730cbf0</vt:lpwstr>
  </property>
  <property fmtid="{D5CDD505-2E9C-101B-9397-08002B2CF9AE}" pid="9" name="MSIP_Label_b0e4137d-3c3f-4cec-9f07-da88235b25cd_ContentBits">
    <vt:lpwstr>0</vt:lpwstr>
  </property>
  <property fmtid="{D5CDD505-2E9C-101B-9397-08002B2CF9AE}" pid="10" name="{A44787D4-0540-4523-9961-78E4036D8C6D}">
    <vt:lpwstr>{01577545-95BD-402A-8FC8-4D31C10B2279}</vt:lpwstr>
  </property>
</Properties>
</file>